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adriangambetta/Desktop/"/>
    </mc:Choice>
  </mc:AlternateContent>
  <xr:revisionPtr revIDLastSave="0" documentId="13_ncr:1_{ED6E726B-AF35-5C41-B652-7BC5E94B303B}" xr6:coauthVersionLast="47" xr6:coauthVersionMax="47" xr10:uidLastSave="{00000000-0000-0000-0000-000000000000}"/>
  <bookViews>
    <workbookView xWindow="0" yWindow="500" windowWidth="23260" windowHeight="12580" activeTab="5" xr2:uid="{DF3745FC-C1CC-4188-B413-A39FE6E867DA}"/>
  </bookViews>
  <sheets>
    <sheet name="Agua Superficial" sheetId="1" r:id="rId1"/>
    <sheet name="Agua Subterránea" sheetId="2" r:id="rId2"/>
    <sheet name="Aguas del Minero" sheetId="3" r:id="rId3"/>
    <sheet name="Agua Mar No Desalada" sheetId="4" r:id="rId4"/>
    <sheet name="Agua Mar Desalada" sheetId="5" r:id="rId5"/>
    <sheet name="Aguas Terceros" sheetId="6" r:id="rId6"/>
  </sheets>
  <definedNames>
    <definedName name="Regió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3" i="6" l="1"/>
  <c r="O33" i="6"/>
  <c r="W31" i="1" l="1"/>
  <c r="S21" i="6"/>
  <c r="S17" i="5"/>
  <c r="O17" i="5"/>
  <c r="S45" i="3"/>
  <c r="O45" i="3"/>
  <c r="G17" i="6" l="1"/>
  <c r="H16" i="1"/>
  <c r="J11" i="6" l="1"/>
  <c r="S21" i="5"/>
  <c r="S18" i="5"/>
  <c r="S19" i="5"/>
  <c r="K11" i="5"/>
  <c r="G17" i="4" l="1"/>
  <c r="K8" i="4"/>
  <c r="K22" i="3" l="1"/>
  <c r="S55" i="2"/>
  <c r="K27" i="2"/>
  <c r="K16" i="1" l="1"/>
  <c r="O53" i="2"/>
  <c r="I11" i="6" l="1"/>
  <c r="J11" i="5" l="1"/>
  <c r="O21" i="5"/>
  <c r="J8" i="4"/>
  <c r="F17" i="4"/>
  <c r="O43" i="3" l="1"/>
  <c r="O40" i="3"/>
  <c r="O39" i="3"/>
  <c r="O38" i="3"/>
  <c r="O37" i="3"/>
  <c r="O35" i="3"/>
  <c r="O33" i="3"/>
  <c r="O32" i="3"/>
  <c r="O31" i="3"/>
  <c r="O30" i="3"/>
  <c r="O29" i="3"/>
  <c r="O27" i="3"/>
  <c r="J22" i="3"/>
  <c r="J27" i="2" l="1"/>
  <c r="J16" i="1"/>
  <c r="R23" i="1"/>
  <c r="R30" i="1" l="1"/>
  <c r="K33" i="6"/>
  <c r="M33" i="1" l="1"/>
  <c r="H11" i="6" l="1"/>
  <c r="I11" i="5"/>
  <c r="I8" i="4"/>
  <c r="I22" i="3" l="1"/>
  <c r="K46" i="3"/>
  <c r="I27" i="2"/>
  <c r="K56" i="2"/>
  <c r="G8" i="4" l="1"/>
  <c r="H8" i="4"/>
  <c r="C34" i="1"/>
  <c r="K21" i="5" l="1"/>
  <c r="E17" i="4"/>
  <c r="H25" i="1"/>
  <c r="H24" i="1"/>
  <c r="H22" i="1"/>
  <c r="H21" i="1"/>
  <c r="I16" i="1"/>
  <c r="H22" i="3" l="1"/>
  <c r="C58" i="2"/>
  <c r="G27" i="2" l="1"/>
  <c r="G61" i="2"/>
  <c r="C30" i="6"/>
  <c r="F11" i="6"/>
  <c r="G34" i="3"/>
  <c r="G33" i="3"/>
  <c r="G31" i="3"/>
  <c r="G30" i="3"/>
  <c r="G29" i="3"/>
  <c r="C44" i="3"/>
  <c r="G22" i="3"/>
  <c r="G27" i="6" l="1"/>
  <c r="G26" i="6"/>
  <c r="G11" i="6"/>
  <c r="G24" i="6"/>
  <c r="G23" i="6"/>
  <c r="G21" i="6"/>
  <c r="G19" i="6"/>
  <c r="G18" i="6"/>
  <c r="G24" i="5"/>
  <c r="H11" i="5"/>
  <c r="D15" i="4"/>
  <c r="D13" i="4"/>
  <c r="F8" i="4"/>
  <c r="G45" i="3"/>
  <c r="G42" i="3"/>
  <c r="G41" i="3"/>
  <c r="G39" i="3"/>
  <c r="G38" i="3"/>
  <c r="G36" i="3"/>
  <c r="G32" i="3"/>
  <c r="H32" i="1"/>
  <c r="H28" i="1"/>
  <c r="H27" i="1"/>
  <c r="H34" i="1" l="1"/>
  <c r="D17" i="4"/>
  <c r="G47" i="3"/>
  <c r="G30" i="6"/>
  <c r="C17" i="4"/>
  <c r="G16" i="1"/>
  <c r="E11" i="6" l="1"/>
  <c r="C11" i="4" l="1"/>
  <c r="E8" i="4"/>
  <c r="G11" i="5" l="1"/>
  <c r="C22" i="5"/>
  <c r="C16" i="1"/>
  <c r="D16" i="1"/>
  <c r="E16" i="1"/>
  <c r="F16" i="1"/>
  <c r="E22" i="3" l="1"/>
  <c r="F22" i="3"/>
  <c r="E27" i="2"/>
  <c r="F27" i="2"/>
  <c r="E11" i="5"/>
  <c r="F11" i="5"/>
  <c r="H27" i="2"/>
</calcChain>
</file>

<file path=xl/sharedStrings.xml><?xml version="1.0" encoding="utf-8"?>
<sst xmlns="http://schemas.openxmlformats.org/spreadsheetml/2006/main" count="1148" uniqueCount="102">
  <si>
    <t>EXTRACCIÓN DE AGUA SUPERFICIAL POR CUENCA</t>
  </si>
  <si>
    <t>Región</t>
  </si>
  <si>
    <t>Cuenca</t>
  </si>
  <si>
    <t>Región de Antofagasta</t>
  </si>
  <si>
    <t>Río Loa</t>
  </si>
  <si>
    <t>Región de Atacama</t>
  </si>
  <si>
    <t>Río Copiapó</t>
  </si>
  <si>
    <t>Pedernales</t>
  </si>
  <si>
    <t>Región de Coquimbo</t>
  </si>
  <si>
    <t>Río Choapa</t>
  </si>
  <si>
    <t>Región de Valparaíso</t>
  </si>
  <si>
    <t>Río Aconcagua</t>
  </si>
  <si>
    <t>Región Metropolitana</t>
  </si>
  <si>
    <t>Río Maipo-Río Mapocho</t>
  </si>
  <si>
    <t>Rio Rapel</t>
  </si>
  <si>
    <t>Región del Lib. General Bernardo O'Higgins</t>
  </si>
  <si>
    <t>Rio Cachapoal</t>
  </si>
  <si>
    <t>Total</t>
  </si>
  <si>
    <t>EXTRACCIÓN DE AGUA SUBTERRÁNEA POR CUENCA</t>
  </si>
  <si>
    <t>Región de Tarapacá</t>
  </si>
  <si>
    <t>Lagunillas</t>
  </si>
  <si>
    <t>Coposa</t>
  </si>
  <si>
    <t>Michincha</t>
  </si>
  <si>
    <t>Salar de Ascotán</t>
  </si>
  <si>
    <t>Salar de Atacama</t>
  </si>
  <si>
    <t>Salar de Punta Negra</t>
  </si>
  <si>
    <t>Monturaqui</t>
  </si>
  <si>
    <t>Quebrada La Negra</t>
  </si>
  <si>
    <t>Peñón</t>
  </si>
  <si>
    <t>Salar de Maricunga</t>
  </si>
  <si>
    <t>Río Salado</t>
  </si>
  <si>
    <t>Río Elqui</t>
  </si>
  <si>
    <t>Costeras entre La Ligua y Río Aconcagua</t>
  </si>
  <si>
    <t>Huinquintipa</t>
  </si>
  <si>
    <t>Hamburgo</t>
  </si>
  <si>
    <t>Falla Mantoverde</t>
  </si>
  <si>
    <t>Río Maipo</t>
  </si>
  <si>
    <t>Sector/Bahía</t>
  </si>
  <si>
    <t>Michilla</t>
  </si>
  <si>
    <t>Mejillones</t>
  </si>
  <si>
    <t>Puerto Coloso</t>
  </si>
  <si>
    <t>Bahía Flamenco</t>
  </si>
  <si>
    <t>ADQUISICIÓN DE AGUA A TERCEROS POR REGIÓN</t>
  </si>
  <si>
    <t>Quebrada Blanca</t>
  </si>
  <si>
    <r>
      <t>Caudal (m</t>
    </r>
    <r>
      <rPr>
        <b/>
        <vertAlign val="superscript"/>
        <sz val="8"/>
        <color theme="0"/>
        <rFont val="Arial"/>
        <family val="2"/>
      </rPr>
      <t>3</t>
    </r>
    <r>
      <rPr>
        <b/>
        <sz val="8"/>
        <color theme="0"/>
        <rFont val="Arial"/>
        <family val="2"/>
      </rPr>
      <t>/s)</t>
    </r>
  </si>
  <si>
    <t>Región del Lib. Bernardo O'Higgins</t>
  </si>
  <si>
    <t>Río Cachapoal</t>
  </si>
  <si>
    <t>-</t>
  </si>
  <si>
    <t>Quebrada Tamas</t>
  </si>
  <si>
    <t>EXTRACCIÓN DE AGUA DE MAR NO DESALADA POR SECTOR/BAHÍA</t>
  </si>
  <si>
    <t>OBTENCIÓN DE AGUA DE MAR DESALADA POR SECTOR/BAHÍA</t>
  </si>
  <si>
    <t>Cerro Colorado</t>
  </si>
  <si>
    <t>Doña Inés de Collahuasi</t>
  </si>
  <si>
    <t>El Abra</t>
  </si>
  <si>
    <t>Chuquicamata</t>
  </si>
  <si>
    <t>Radomiro Tomic</t>
  </si>
  <si>
    <t>Ministro Hales</t>
  </si>
  <si>
    <t>Centinela</t>
  </si>
  <si>
    <t>Gabriela Mistral</t>
  </si>
  <si>
    <t>Lomas Bayas</t>
  </si>
  <si>
    <t>Zaldívar</t>
  </si>
  <si>
    <t>Escondida</t>
  </si>
  <si>
    <t>Altonorte</t>
  </si>
  <si>
    <t>Salvador</t>
  </si>
  <si>
    <t>Maricunga</t>
  </si>
  <si>
    <t>Ojos del Salado</t>
  </si>
  <si>
    <t>Candelaria</t>
  </si>
  <si>
    <t>Caserones</t>
  </si>
  <si>
    <t xml:space="preserve">Carmen de Andacollo </t>
  </si>
  <si>
    <t>Los Pelambres</t>
  </si>
  <si>
    <t>Andina</t>
  </si>
  <si>
    <t>Ventanas</t>
  </si>
  <si>
    <t>El Soldado</t>
  </si>
  <si>
    <t>Chagres</t>
  </si>
  <si>
    <t>Los Bronces</t>
  </si>
  <si>
    <t>El Teniente</t>
  </si>
  <si>
    <t>Caudal (m3/s)</t>
  </si>
  <si>
    <t>Empresa</t>
  </si>
  <si>
    <t>Sierra Gorda</t>
  </si>
  <si>
    <t>Carmén de Andacollo</t>
  </si>
  <si>
    <t>Antucoya</t>
  </si>
  <si>
    <t>Spence</t>
  </si>
  <si>
    <t>Franke</t>
  </si>
  <si>
    <t>ADQUISICIÓN DE AGUA A TERCEROS POR EMPRESA</t>
  </si>
  <si>
    <t>EXTRACCIÓN DE AGUA SUPERFICIAL POR FAENA</t>
  </si>
  <si>
    <t>Faena</t>
  </si>
  <si>
    <t>EXTRACCIÓN DE AGUA SUBTERRÁNEA POR FAENA</t>
  </si>
  <si>
    <t>EXTRACCIÓN DE AGUA DE MAR NO DESALADA POR FAENA</t>
  </si>
  <si>
    <t>OBTENCIÓN DE AGUA DE MAR DESALADA POR FAENA</t>
  </si>
  <si>
    <t>Region de Atacama</t>
  </si>
  <si>
    <t>Rio Huasco</t>
  </si>
  <si>
    <t>Planta de Pellets</t>
  </si>
  <si>
    <t>Los Colorados</t>
  </si>
  <si>
    <t>Planta Magnetita - CMP</t>
  </si>
  <si>
    <t>Planta Pellets - CMP</t>
  </si>
  <si>
    <t>Región del L. Gral. Bernardo O'Higgins</t>
  </si>
  <si>
    <t>Punta Totoralillo</t>
  </si>
  <si>
    <t>Cerro Negro Norte - CMP</t>
  </si>
  <si>
    <t>.</t>
  </si>
  <si>
    <t>EXTRACCIÓN DE AGUAS DEL MINERO POR FAENA</t>
  </si>
  <si>
    <t>EXTRACCIÓN DE AGUAS DEL MINERO POR CUENCA</t>
  </si>
  <si>
    <t>Punta Paredones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</si>
</sst>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#,##0.000"/>
    <numFmt numFmtId="166" formatCode="#,##0.0000"/>
    <numFmt numFmtId="167" formatCode="0.000"/>
    <numFmt numFmtId="168" formatCode="_-* #,##0_-;\-* #,##0_-;_-* &quot;-&quot;??_-;_-@_-"/>
    <numFmt numFmtId="169" formatCode="0.00000"/>
    <numFmt numFmtId="170" formatCode="0.0000"/>
    <numFmt numFmtId="171" formatCode="#,##0.00000"/>
    <numFmt numFmtId="172" formatCode="_(* #,##0_);_(* \(#,##0\);_(* &quot;-&quot;_);_(@_)"/>
    <numFmt numFmtId="173" formatCode="_ * #,##0.000_ ;_ * \-#,##0.000_ ;_ * &quot;-&quot;_ ;_ @_ "/>
  </numFmts>
  <fonts count="19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25406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2D69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9" fillId="0" borderId="0" applyFont="0" applyFill="0" applyBorder="0" applyAlignment="0" applyProtection="0"/>
  </cellStyleXfs>
  <cellXfs count="180">
    <xf numFmtId="0" fontId="0" fillId="0" borderId="0" xfId="0"/>
    <xf numFmtId="3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0" fillId="0" borderId="0" xfId="0" applyBorder="1"/>
    <xf numFmtId="3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67" fontId="6" fillId="0" borderId="5" xfId="0" applyNumberFormat="1" applyFont="1" applyFill="1" applyBorder="1"/>
    <xf numFmtId="0" fontId="5" fillId="5" borderId="2" xfId="0" applyFont="1" applyFill="1" applyBorder="1" applyAlignment="1">
      <alignment vertical="center" wrapText="1"/>
    </xf>
    <xf numFmtId="0" fontId="6" fillId="0" borderId="2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8" fillId="0" borderId="2" xfId="0" applyFont="1" applyFill="1" applyBorder="1"/>
    <xf numFmtId="0" fontId="10" fillId="0" borderId="0" xfId="0" applyFont="1"/>
    <xf numFmtId="43" fontId="10" fillId="0" borderId="0" xfId="1" applyFont="1"/>
    <xf numFmtId="168" fontId="10" fillId="0" borderId="0" xfId="1" applyNumberFormat="1" applyFont="1"/>
    <xf numFmtId="168" fontId="10" fillId="0" borderId="0" xfId="0" applyNumberFormat="1" applyFont="1"/>
    <xf numFmtId="43" fontId="10" fillId="0" borderId="0" xfId="0" applyNumberFormat="1" applyFont="1"/>
    <xf numFmtId="0" fontId="1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 wrapText="1"/>
    </xf>
    <xf numFmtId="167" fontId="2" fillId="7" borderId="2" xfId="0" applyNumberFormat="1" applyFont="1" applyFill="1" applyBorder="1" applyAlignment="1">
      <alignment horizontal="center" vertic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left" vertical="center" wrapText="1"/>
    </xf>
    <xf numFmtId="3" fontId="12" fillId="7" borderId="2" xfId="0" applyNumberFormat="1" applyFont="1" applyFill="1" applyBorder="1" applyAlignment="1">
      <alignment horizontal="left" vertical="center" wrapText="1"/>
    </xf>
    <xf numFmtId="3" fontId="12" fillId="7" borderId="1" xfId="0" applyNumberFormat="1" applyFont="1" applyFill="1" applyBorder="1" applyAlignment="1">
      <alignment horizontal="left" vertical="center" wrapText="1"/>
    </xf>
    <xf numFmtId="165" fontId="12" fillId="7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165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3" fillId="0" borderId="0" xfId="0" applyFont="1"/>
    <xf numFmtId="0" fontId="12" fillId="6" borderId="1" xfId="0" applyFont="1" applyFill="1" applyBorder="1" applyAlignment="1">
      <alignment horizontal="right"/>
    </xf>
    <xf numFmtId="165" fontId="12" fillId="6" borderId="1" xfId="0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left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right" vertical="center" wrapText="1"/>
    </xf>
    <xf numFmtId="165" fontId="12" fillId="6" borderId="0" xfId="0" applyNumberFormat="1" applyFont="1" applyFill="1" applyAlignment="1">
      <alignment horizontal="center"/>
    </xf>
    <xf numFmtId="167" fontId="12" fillId="7" borderId="2" xfId="0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vertical="center"/>
    </xf>
    <xf numFmtId="167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/>
    <xf numFmtId="0" fontId="0" fillId="0" borderId="0" xfId="0" applyFill="1"/>
    <xf numFmtId="0" fontId="14" fillId="0" borderId="0" xfId="0" applyFont="1" applyFill="1" applyBorder="1"/>
    <xf numFmtId="167" fontId="12" fillId="6" borderId="0" xfId="0" applyNumberFormat="1" applyFont="1" applyFill="1" applyAlignment="1">
      <alignment horizontal="center" vertical="center"/>
    </xf>
    <xf numFmtId="3" fontId="12" fillId="7" borderId="0" xfId="0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165" fontId="2" fillId="2" borderId="23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164" fontId="3" fillId="0" borderId="4" xfId="0" applyNumberFormat="1" applyFont="1" applyBorder="1"/>
    <xf numFmtId="0" fontId="0" fillId="0" borderId="4" xfId="0" applyBorder="1"/>
    <xf numFmtId="3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2" fillId="6" borderId="1" xfId="0" quotePrefix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8" fillId="0" borderId="22" xfId="0" applyFont="1" applyFill="1" applyBorder="1"/>
    <xf numFmtId="0" fontId="13" fillId="6" borderId="1" xfId="0" applyFont="1" applyFill="1" applyBorder="1" applyAlignment="1">
      <alignment horizontal="center"/>
    </xf>
    <xf numFmtId="0" fontId="7" fillId="0" borderId="25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3" fontId="2" fillId="7" borderId="18" xfId="0" applyNumberFormat="1" applyFont="1" applyFill="1" applyBorder="1" applyAlignment="1">
      <alignment horizontal="left" vertical="center" wrapText="1"/>
    </xf>
    <xf numFmtId="169" fontId="12" fillId="7" borderId="2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/>
    <xf numFmtId="0" fontId="12" fillId="0" borderId="1" xfId="0" applyFont="1" applyBorder="1"/>
    <xf numFmtId="167" fontId="12" fillId="6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center"/>
    </xf>
    <xf numFmtId="3" fontId="12" fillId="7" borderId="5" xfId="0" applyNumberFormat="1" applyFont="1" applyFill="1" applyBorder="1" applyAlignment="1">
      <alignment horizontal="left" vertical="center" wrapText="1"/>
    </xf>
    <xf numFmtId="1" fontId="5" fillId="5" borderId="18" xfId="0" applyNumberFormat="1" applyFont="1" applyFill="1" applyBorder="1" applyAlignment="1">
      <alignment horizontal="center" vertical="center" wrapText="1"/>
    </xf>
    <xf numFmtId="3" fontId="2" fillId="7" borderId="25" xfId="0" applyNumberFormat="1" applyFont="1" applyFill="1" applyBorder="1" applyAlignment="1">
      <alignment horizontal="left" vertical="center" wrapText="1"/>
    </xf>
    <xf numFmtId="167" fontId="2" fillId="2" borderId="18" xfId="0" applyNumberFormat="1" applyFont="1" applyFill="1" applyBorder="1" applyAlignment="1">
      <alignment horizontal="center" vertical="center" wrapText="1"/>
    </xf>
    <xf numFmtId="3" fontId="2" fillId="7" borderId="5" xfId="0" applyNumberFormat="1" applyFont="1" applyFill="1" applyBorder="1" applyAlignment="1">
      <alignment horizontal="left" vertical="center" wrapText="1"/>
    </xf>
    <xf numFmtId="167" fontId="2" fillId="7" borderId="18" xfId="0" applyNumberFormat="1" applyFont="1" applyFill="1" applyBorder="1" applyAlignment="1">
      <alignment horizontal="center" vertical="center" wrapText="1"/>
    </xf>
    <xf numFmtId="165" fontId="12" fillId="7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7" fontId="0" fillId="0" borderId="0" xfId="0" applyNumberFormat="1" applyBorder="1"/>
    <xf numFmtId="0" fontId="10" fillId="0" borderId="0" xfId="0" applyFont="1" applyBorder="1"/>
    <xf numFmtId="167" fontId="0" fillId="0" borderId="0" xfId="0" applyNumberFormat="1" applyBorder="1" applyAlignment="1">
      <alignment horizontal="center"/>
    </xf>
    <xf numFmtId="167" fontId="12" fillId="7" borderId="18" xfId="0" applyNumberFormat="1" applyFont="1" applyFill="1" applyBorder="1" applyAlignment="1">
      <alignment horizontal="center" vertical="center" wrapText="1"/>
    </xf>
    <xf numFmtId="3" fontId="12" fillId="7" borderId="7" xfId="0" applyNumberFormat="1" applyFont="1" applyFill="1" applyBorder="1" applyAlignment="1">
      <alignment horizontal="left" vertical="center" wrapText="1"/>
    </xf>
    <xf numFmtId="167" fontId="0" fillId="0" borderId="0" xfId="0" applyNumberFormat="1"/>
    <xf numFmtId="166" fontId="2" fillId="2" borderId="2" xfId="0" applyNumberFormat="1" applyFont="1" applyFill="1" applyBorder="1" applyAlignment="1">
      <alignment horizontal="center" vertical="center" wrapText="1"/>
    </xf>
    <xf numFmtId="167" fontId="16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70" fontId="2" fillId="2" borderId="2" xfId="0" applyNumberFormat="1" applyFont="1" applyFill="1" applyBorder="1" applyAlignment="1">
      <alignment horizontal="center" vertical="center" wrapText="1"/>
    </xf>
    <xf numFmtId="3" fontId="12" fillId="7" borderId="0" xfId="0" applyNumberFormat="1" applyFont="1" applyFill="1" applyAlignment="1">
      <alignment horizontal="right" vertical="center" wrapText="1"/>
    </xf>
    <xf numFmtId="170" fontId="0" fillId="0" borderId="0" xfId="0" applyNumberFormat="1"/>
    <xf numFmtId="0" fontId="18" fillId="0" borderId="0" xfId="0" applyFont="1"/>
    <xf numFmtId="171" fontId="0" fillId="0" borderId="0" xfId="0" applyNumberFormat="1"/>
    <xf numFmtId="167" fontId="18" fillId="0" borderId="0" xfId="0" applyNumberFormat="1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5" fontId="12" fillId="6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/>
    <xf numFmtId="3" fontId="2" fillId="2" borderId="12" xfId="0" applyNumberFormat="1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left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left"/>
    </xf>
    <xf numFmtId="3" fontId="12" fillId="7" borderId="16" xfId="0" applyNumberFormat="1" applyFont="1" applyFill="1" applyBorder="1" applyAlignment="1">
      <alignment horizontal="left" vertical="center" wrapText="1"/>
    </xf>
    <xf numFmtId="3" fontId="12" fillId="7" borderId="17" xfId="0" applyNumberFormat="1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3" fontId="12" fillId="7" borderId="18" xfId="0" applyNumberFormat="1" applyFont="1" applyFill="1" applyBorder="1" applyAlignment="1">
      <alignment horizontal="left" vertical="center" wrapText="1"/>
    </xf>
    <xf numFmtId="3" fontId="12" fillId="7" borderId="19" xfId="0" applyNumberFormat="1" applyFont="1" applyFill="1" applyBorder="1" applyAlignment="1">
      <alignment horizontal="left" vertical="center" wrapText="1"/>
    </xf>
    <xf numFmtId="3" fontId="12" fillId="7" borderId="20" xfId="0" applyNumberFormat="1" applyFont="1" applyFill="1" applyBorder="1" applyAlignment="1">
      <alignment horizontal="left" vertical="center" wrapText="1"/>
    </xf>
    <xf numFmtId="3" fontId="12" fillId="7" borderId="21" xfId="0" applyNumberFormat="1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9" fontId="0" fillId="0" borderId="0" xfId="2" applyFont="1" applyBorder="1"/>
    <xf numFmtId="3" fontId="2" fillId="2" borderId="26" xfId="0" applyNumberFormat="1" applyFont="1" applyFill="1" applyBorder="1" applyAlignment="1">
      <alignment horizontal="left" vertical="center" wrapText="1"/>
    </xf>
    <xf numFmtId="3" fontId="2" fillId="2" borderId="27" xfId="0" applyNumberFormat="1" applyFont="1" applyFill="1" applyBorder="1" applyAlignment="1">
      <alignment horizontal="left" vertical="center" wrapText="1"/>
    </xf>
    <xf numFmtId="3" fontId="2" fillId="2" borderId="26" xfId="0" applyNumberFormat="1" applyFont="1" applyFill="1" applyBorder="1" applyAlignment="1">
      <alignment vertical="center" wrapText="1"/>
    </xf>
    <xf numFmtId="3" fontId="2" fillId="2" borderId="27" xfId="0" applyNumberFormat="1" applyFont="1" applyFill="1" applyBorder="1" applyAlignment="1">
      <alignment vertical="center" wrapText="1"/>
    </xf>
    <xf numFmtId="173" fontId="13" fillId="0" borderId="0" xfId="0" applyNumberFormat="1" applyFont="1"/>
    <xf numFmtId="173" fontId="0" fillId="0" borderId="0" xfId="0" applyNumberFormat="1"/>
    <xf numFmtId="3" fontId="2" fillId="2" borderId="26" xfId="0" applyNumberFormat="1" applyFont="1" applyFill="1" applyBorder="1" applyAlignment="1">
      <alignment vertical="center" wrapText="1"/>
    </xf>
    <xf numFmtId="3" fontId="2" fillId="2" borderId="27" xfId="0" applyNumberFormat="1" applyFont="1" applyFill="1" applyBorder="1" applyAlignment="1">
      <alignment vertical="center" wrapText="1"/>
    </xf>
    <xf numFmtId="3" fontId="2" fillId="2" borderId="26" xfId="0" applyNumberFormat="1" applyFont="1" applyFill="1" applyBorder="1" applyAlignment="1">
      <alignment horizontal="left" vertical="center" wrapText="1"/>
    </xf>
    <xf numFmtId="3" fontId="2" fillId="2" borderId="27" xfId="0" applyNumberFormat="1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12" fillId="7" borderId="18" xfId="0" applyNumberFormat="1" applyFont="1" applyFill="1" applyBorder="1" applyAlignment="1">
      <alignment horizontal="left" vertical="center" wrapText="1"/>
    </xf>
    <xf numFmtId="3" fontId="12" fillId="7" borderId="5" xfId="0" applyNumberFormat="1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">
    <cellStyle name="Comma [0] 2" xfId="3" xr:uid="{6CA5D156-E2BC-4C1E-BC2A-B445AA379C49}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zoomScale="130" zoomScaleNormal="130" workbookViewId="0">
      <selection activeCell="R9" sqref="R9"/>
    </sheetView>
  </sheetViews>
  <sheetFormatPr baseColWidth="10" defaultColWidth="11.5" defaultRowHeight="15" x14ac:dyDescent="0.2"/>
  <cols>
    <col min="1" max="1" width="31.1640625" bestFit="1" customWidth="1"/>
    <col min="2" max="2" width="20.83203125" customWidth="1"/>
    <col min="3" max="3" width="14.1640625" customWidth="1"/>
    <col min="4" max="5" width="11.83203125" customWidth="1"/>
    <col min="6" max="6" width="12.83203125" customWidth="1"/>
    <col min="7" max="7" width="19.1640625" customWidth="1"/>
    <col min="8" max="8" width="13.5" customWidth="1"/>
    <col min="12" max="12" width="14.83203125" customWidth="1"/>
    <col min="13" max="13" width="21" bestFit="1" customWidth="1"/>
    <col min="15" max="15" width="18.1640625" customWidth="1"/>
    <col min="16" max="16" width="17.1640625" customWidth="1"/>
    <col min="18" max="18" width="14.5" customWidth="1"/>
  </cols>
  <sheetData>
    <row r="1" spans="1:15" ht="30" customHeight="1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5" x14ac:dyDescent="0.2">
      <c r="A2" s="162" t="s">
        <v>1</v>
      </c>
      <c r="B2" s="162" t="s">
        <v>2</v>
      </c>
      <c r="C2" s="162" t="s">
        <v>44</v>
      </c>
      <c r="D2" s="162"/>
      <c r="E2" s="162"/>
      <c r="F2" s="162"/>
      <c r="G2" s="162"/>
      <c r="H2" s="162"/>
      <c r="I2" s="162"/>
      <c r="J2" s="162"/>
      <c r="K2" s="162"/>
      <c r="M2" s="113"/>
      <c r="N2" s="113"/>
      <c r="O2" s="113"/>
    </row>
    <row r="3" spans="1:15" x14ac:dyDescent="0.2">
      <c r="A3" s="162"/>
      <c r="B3" s="162"/>
      <c r="C3" s="120">
        <v>2012</v>
      </c>
      <c r="D3" s="120">
        <v>2013</v>
      </c>
      <c r="E3" s="120">
        <v>2014</v>
      </c>
      <c r="F3" s="120">
        <v>2015</v>
      </c>
      <c r="G3" s="120">
        <v>2016</v>
      </c>
      <c r="H3" s="34">
        <v>2017</v>
      </c>
      <c r="I3" s="120">
        <v>2018</v>
      </c>
      <c r="J3" s="120">
        <v>2019</v>
      </c>
      <c r="K3" s="120">
        <v>2020</v>
      </c>
      <c r="M3" s="113"/>
      <c r="N3" s="113"/>
      <c r="O3" s="113"/>
    </row>
    <row r="4" spans="1:15" ht="15" customHeight="1" x14ac:dyDescent="0.2">
      <c r="A4" s="83" t="s">
        <v>19</v>
      </c>
      <c r="B4" s="83" t="s">
        <v>22</v>
      </c>
      <c r="C4" s="70" t="s">
        <v>47</v>
      </c>
      <c r="D4" s="70" t="s">
        <v>47</v>
      </c>
      <c r="E4" s="70" t="s">
        <v>47</v>
      </c>
      <c r="F4" s="71">
        <v>2.7E-2</v>
      </c>
      <c r="G4" s="71">
        <v>1.4999999999999999E-2</v>
      </c>
      <c r="H4" s="71" t="s">
        <v>47</v>
      </c>
      <c r="I4" s="71" t="s">
        <v>47</v>
      </c>
      <c r="J4" s="71" t="s">
        <v>47</v>
      </c>
      <c r="K4" s="71" t="s">
        <v>47</v>
      </c>
      <c r="M4" s="113"/>
      <c r="N4" s="113"/>
      <c r="O4" s="113"/>
    </row>
    <row r="5" spans="1:15" ht="15" customHeight="1" x14ac:dyDescent="0.2">
      <c r="A5" s="83" t="s">
        <v>3</v>
      </c>
      <c r="B5" s="83" t="s">
        <v>4</v>
      </c>
      <c r="C5" s="84">
        <v>0.8</v>
      </c>
      <c r="D5" s="84">
        <v>0.7</v>
      </c>
      <c r="E5" s="71">
        <v>0.79900000000000004</v>
      </c>
      <c r="F5" s="71">
        <v>0.79600000000000004</v>
      </c>
      <c r="G5" s="71">
        <v>0.77100000000000002</v>
      </c>
      <c r="H5" s="71">
        <v>0.75539999999999996</v>
      </c>
      <c r="I5" s="71">
        <v>0.80056280441400307</v>
      </c>
      <c r="J5" s="71">
        <v>0.61009999999999998</v>
      </c>
      <c r="K5" s="71">
        <v>0.78126999999999991</v>
      </c>
      <c r="L5" s="16"/>
      <c r="M5" s="113"/>
      <c r="N5" s="113"/>
      <c r="O5" s="113"/>
    </row>
    <row r="6" spans="1:15" ht="15" customHeight="1" x14ac:dyDescent="0.2">
      <c r="A6" s="83" t="s">
        <v>5</v>
      </c>
      <c r="B6" s="83" t="s">
        <v>6</v>
      </c>
      <c r="C6" s="70" t="s">
        <v>47</v>
      </c>
      <c r="D6" s="71">
        <v>1E-3</v>
      </c>
      <c r="E6" s="71">
        <v>1E-3</v>
      </c>
      <c r="F6" s="70" t="s">
        <v>47</v>
      </c>
      <c r="G6" s="71" t="s">
        <v>47</v>
      </c>
      <c r="H6" s="71" t="s">
        <v>47</v>
      </c>
      <c r="I6" s="85" t="s">
        <v>47</v>
      </c>
      <c r="J6" s="71" t="s">
        <v>47</v>
      </c>
      <c r="K6" s="71" t="s">
        <v>47</v>
      </c>
      <c r="L6" s="16"/>
      <c r="M6" s="113"/>
      <c r="N6" s="113"/>
      <c r="O6" s="113"/>
    </row>
    <row r="7" spans="1:15" ht="15" customHeight="1" x14ac:dyDescent="0.2">
      <c r="A7" s="83" t="s">
        <v>5</v>
      </c>
      <c r="B7" s="83" t="s">
        <v>7</v>
      </c>
      <c r="C7" s="84">
        <v>0.7</v>
      </c>
      <c r="D7" s="84">
        <v>0.6</v>
      </c>
      <c r="E7" s="71">
        <v>0.55800000000000005</v>
      </c>
      <c r="F7" s="71">
        <v>0.498</v>
      </c>
      <c r="G7" s="71">
        <v>0.61199999999999999</v>
      </c>
      <c r="H7" s="71">
        <v>0.60299999999999998</v>
      </c>
      <c r="I7" s="71">
        <v>0.59036999999999995</v>
      </c>
      <c r="J7" s="71">
        <v>0.51600000000000001</v>
      </c>
      <c r="K7" s="71">
        <v>0.56770000000000009</v>
      </c>
      <c r="L7" s="16"/>
      <c r="M7" s="113"/>
      <c r="N7" s="105"/>
    </row>
    <row r="8" spans="1:15" ht="15" customHeight="1" x14ac:dyDescent="0.2">
      <c r="A8" s="83" t="s">
        <v>89</v>
      </c>
      <c r="B8" s="83" t="s">
        <v>90</v>
      </c>
      <c r="C8" s="84" t="s">
        <v>47</v>
      </c>
      <c r="D8" s="84" t="s">
        <v>47</v>
      </c>
      <c r="E8" s="71" t="s">
        <v>47</v>
      </c>
      <c r="F8" s="124" t="s">
        <v>47</v>
      </c>
      <c r="G8" s="71" t="s">
        <v>47</v>
      </c>
      <c r="H8" s="71">
        <v>5.8000000000000003E-2</v>
      </c>
      <c r="I8" s="71" t="s">
        <v>47</v>
      </c>
      <c r="J8" s="71" t="s">
        <v>47</v>
      </c>
      <c r="K8" s="71" t="s">
        <v>47</v>
      </c>
      <c r="L8" s="16"/>
      <c r="M8" s="113"/>
      <c r="N8" s="105"/>
    </row>
    <row r="9" spans="1:15" ht="15" customHeight="1" x14ac:dyDescent="0.2">
      <c r="A9" s="83" t="s">
        <v>8</v>
      </c>
      <c r="B9" s="83" t="s">
        <v>31</v>
      </c>
      <c r="C9" s="84" t="s">
        <v>47</v>
      </c>
      <c r="D9" s="84" t="s">
        <v>47</v>
      </c>
      <c r="E9" s="71" t="s">
        <v>47</v>
      </c>
      <c r="F9" s="71">
        <v>1.7999999999999999E-2</v>
      </c>
      <c r="G9" s="71">
        <v>6.0000000000000001E-3</v>
      </c>
      <c r="H9" s="71">
        <v>0.03</v>
      </c>
      <c r="I9" s="71">
        <v>4.0000000000000001E-3</v>
      </c>
      <c r="J9" s="71" t="s">
        <v>47</v>
      </c>
      <c r="K9" s="71" t="s">
        <v>47</v>
      </c>
      <c r="L9" s="16"/>
      <c r="M9" s="113"/>
      <c r="N9" s="105"/>
    </row>
    <row r="10" spans="1:15" ht="15" customHeight="1" x14ac:dyDescent="0.2">
      <c r="A10" s="83" t="s">
        <v>8</v>
      </c>
      <c r="B10" s="83" t="s">
        <v>9</v>
      </c>
      <c r="C10" s="84">
        <v>0.5</v>
      </c>
      <c r="D10" s="84">
        <v>0.5</v>
      </c>
      <c r="E10" s="84">
        <v>0.52700000000000002</v>
      </c>
      <c r="F10" s="84">
        <v>0.65100000000000002</v>
      </c>
      <c r="G10" s="84">
        <v>0.57999999999999996</v>
      </c>
      <c r="H10" s="84">
        <v>0.58299999999999996</v>
      </c>
      <c r="I10" s="84">
        <v>0.5717000000000001</v>
      </c>
      <c r="J10" s="84">
        <v>0.40751643790000003</v>
      </c>
      <c r="K10" s="84">
        <v>0.45170674663015009</v>
      </c>
      <c r="L10" s="16"/>
      <c r="M10" s="113"/>
      <c r="N10" s="105"/>
    </row>
    <row r="11" spans="1:15" ht="15" customHeight="1" x14ac:dyDescent="0.2">
      <c r="A11" s="83" t="s">
        <v>10</v>
      </c>
      <c r="B11" s="83" t="s">
        <v>11</v>
      </c>
      <c r="C11" s="84">
        <v>0.7</v>
      </c>
      <c r="D11" s="84">
        <v>0.7</v>
      </c>
      <c r="E11" s="84">
        <v>0.84899999999999998</v>
      </c>
      <c r="F11" s="84">
        <v>0.99</v>
      </c>
      <c r="G11" s="84">
        <v>0.96507298193516822</v>
      </c>
      <c r="H11" s="84">
        <v>0.88512759258106832</v>
      </c>
      <c r="I11" s="84">
        <v>0.72094277446796839</v>
      </c>
      <c r="J11" s="84">
        <v>0.58428435088664077</v>
      </c>
      <c r="K11" s="84">
        <v>0.60460082847775121</v>
      </c>
      <c r="L11" s="16"/>
      <c r="M11" s="113"/>
      <c r="N11" s="105"/>
    </row>
    <row r="12" spans="1:15" ht="15" customHeight="1" x14ac:dyDescent="0.2">
      <c r="A12" s="83" t="s">
        <v>12</v>
      </c>
      <c r="B12" s="83" t="s">
        <v>13</v>
      </c>
      <c r="C12" s="84">
        <v>0.5</v>
      </c>
      <c r="D12" s="84">
        <v>0.6</v>
      </c>
      <c r="E12" s="84">
        <v>0.25900000000000001</v>
      </c>
      <c r="F12" s="84">
        <v>0.312</v>
      </c>
      <c r="G12" s="84">
        <v>0.35941699944262423</v>
      </c>
      <c r="H12" s="84">
        <v>0.3962143633203824</v>
      </c>
      <c r="I12" s="84">
        <v>0.25661583732022419</v>
      </c>
      <c r="J12" s="84">
        <v>0.1411475594878378</v>
      </c>
      <c r="K12" s="84">
        <v>0.1562924856133269</v>
      </c>
      <c r="L12" s="16"/>
      <c r="M12" s="113"/>
      <c r="N12" s="105"/>
    </row>
    <row r="13" spans="1:15" ht="15" customHeight="1" x14ac:dyDescent="0.2">
      <c r="A13" s="83" t="s">
        <v>12</v>
      </c>
      <c r="B13" s="83" t="s">
        <v>14</v>
      </c>
      <c r="C13" s="84">
        <v>0.02</v>
      </c>
      <c r="D13" s="84">
        <v>0.06</v>
      </c>
      <c r="E13" s="84" t="s">
        <v>47</v>
      </c>
      <c r="F13" s="84" t="s">
        <v>47</v>
      </c>
      <c r="G13" s="84" t="s">
        <v>47</v>
      </c>
      <c r="H13" s="84" t="s">
        <v>47</v>
      </c>
      <c r="I13" s="84" t="s">
        <v>98</v>
      </c>
      <c r="J13" s="84" t="s">
        <v>47</v>
      </c>
      <c r="K13" s="84" t="s">
        <v>47</v>
      </c>
      <c r="L13" s="16"/>
      <c r="M13" s="113"/>
      <c r="N13" s="105"/>
    </row>
    <row r="14" spans="1:15" x14ac:dyDescent="0.2">
      <c r="A14" s="83" t="s">
        <v>15</v>
      </c>
      <c r="B14" s="83" t="s">
        <v>16</v>
      </c>
      <c r="C14" s="84">
        <v>1.3</v>
      </c>
      <c r="D14" s="84">
        <v>1.2</v>
      </c>
      <c r="E14" s="71">
        <v>1.371</v>
      </c>
      <c r="F14" s="124">
        <v>1.3180000000000001</v>
      </c>
      <c r="G14" s="71">
        <v>1.252</v>
      </c>
      <c r="H14" s="71">
        <v>1.3049999999999999</v>
      </c>
      <c r="I14" s="71">
        <v>1.4596500000000001</v>
      </c>
      <c r="J14" s="71">
        <v>1.35293</v>
      </c>
      <c r="K14" s="15">
        <v>1.575</v>
      </c>
      <c r="L14" s="16"/>
      <c r="M14" s="113"/>
      <c r="N14" s="105"/>
    </row>
    <row r="15" spans="1:15" x14ac:dyDescent="0.2">
      <c r="A15" s="86"/>
      <c r="B15" s="86"/>
      <c r="C15" s="86"/>
      <c r="D15" s="86"/>
      <c r="E15" s="86"/>
      <c r="F15" s="48"/>
      <c r="G15" s="48"/>
      <c r="H15" s="48"/>
      <c r="I15" s="48"/>
    </row>
    <row r="16" spans="1:15" x14ac:dyDescent="0.2">
      <c r="A16" s="87"/>
      <c r="B16" s="55" t="s">
        <v>17</v>
      </c>
      <c r="C16" s="52">
        <f>ROUND(SUM(C4:C14),1)</f>
        <v>4.5</v>
      </c>
      <c r="D16" s="52">
        <f>ROUND(SUM(D4:D14),1)</f>
        <v>4.4000000000000004</v>
      </c>
      <c r="E16" s="53">
        <f t="shared" ref="E16:K16" si="0">SUM(E4:E14)</f>
        <v>4.3639999999999999</v>
      </c>
      <c r="F16" s="53">
        <f t="shared" si="0"/>
        <v>4.6100000000000003</v>
      </c>
      <c r="G16" s="53">
        <f t="shared" si="0"/>
        <v>4.5604899813777919</v>
      </c>
      <c r="H16" s="53">
        <f t="shared" si="0"/>
        <v>4.6157419559014503</v>
      </c>
      <c r="I16" s="53">
        <f t="shared" si="0"/>
        <v>4.4038414162021962</v>
      </c>
      <c r="J16" s="53">
        <f t="shared" si="0"/>
        <v>3.6119783482744792</v>
      </c>
      <c r="K16" s="53">
        <f t="shared" si="0"/>
        <v>4.1365700607212279</v>
      </c>
    </row>
    <row r="18" spans="1:24" ht="30" customHeight="1" x14ac:dyDescent="0.2">
      <c r="A18" s="160" t="s">
        <v>84</v>
      </c>
      <c r="B18" s="165"/>
      <c r="C18" s="165"/>
      <c r="D18" s="36"/>
      <c r="E18" s="156" t="s">
        <v>84</v>
      </c>
      <c r="F18" s="164"/>
      <c r="G18" s="164"/>
      <c r="H18" s="164"/>
      <c r="J18" s="156" t="s">
        <v>84</v>
      </c>
      <c r="K18" s="164"/>
      <c r="L18" s="164"/>
      <c r="M18" s="164"/>
      <c r="O18" s="156" t="s">
        <v>84</v>
      </c>
      <c r="P18" s="157"/>
      <c r="Q18" s="157"/>
      <c r="R18" s="157"/>
      <c r="T18" s="156" t="s">
        <v>84</v>
      </c>
      <c r="U18" s="157"/>
      <c r="V18" s="157"/>
      <c r="W18" s="157"/>
    </row>
    <row r="19" spans="1:24" ht="27" customHeight="1" x14ac:dyDescent="0.2">
      <c r="A19" s="166" t="s">
        <v>1</v>
      </c>
      <c r="B19" s="166" t="s">
        <v>85</v>
      </c>
      <c r="C19" s="32" t="s">
        <v>44</v>
      </c>
      <c r="E19" s="158" t="s">
        <v>1</v>
      </c>
      <c r="F19" s="159"/>
      <c r="G19" s="162" t="s">
        <v>85</v>
      </c>
      <c r="H19" s="32" t="s">
        <v>44</v>
      </c>
      <c r="J19" s="158" t="s">
        <v>1</v>
      </c>
      <c r="K19" s="159"/>
      <c r="L19" s="162" t="s">
        <v>85</v>
      </c>
      <c r="M19" s="97" t="s">
        <v>44</v>
      </c>
      <c r="O19" s="158" t="s">
        <v>1</v>
      </c>
      <c r="P19" s="159"/>
      <c r="Q19" s="162" t="s">
        <v>85</v>
      </c>
      <c r="R19" s="108" t="s">
        <v>44</v>
      </c>
      <c r="T19" s="158" t="s">
        <v>1</v>
      </c>
      <c r="U19" s="159"/>
      <c r="V19" s="162" t="s">
        <v>85</v>
      </c>
      <c r="W19" s="120" t="s">
        <v>44</v>
      </c>
    </row>
    <row r="20" spans="1:24" x14ac:dyDescent="0.2">
      <c r="A20" s="166"/>
      <c r="B20" s="166"/>
      <c r="C20" s="32">
        <v>2016</v>
      </c>
      <c r="E20" s="160"/>
      <c r="F20" s="161"/>
      <c r="G20" s="163"/>
      <c r="H20" s="37">
        <v>2017</v>
      </c>
      <c r="J20" s="160"/>
      <c r="K20" s="161"/>
      <c r="L20" s="163"/>
      <c r="M20" s="98">
        <v>2018</v>
      </c>
      <c r="O20" s="160"/>
      <c r="P20" s="161"/>
      <c r="Q20" s="163"/>
      <c r="R20" s="109">
        <v>2019</v>
      </c>
      <c r="T20" s="160"/>
      <c r="U20" s="161"/>
      <c r="V20" s="163"/>
      <c r="W20" s="121">
        <v>2020</v>
      </c>
    </row>
    <row r="21" spans="1:24" ht="22.5" customHeight="1" x14ac:dyDescent="0.2">
      <c r="A21" s="83" t="s">
        <v>19</v>
      </c>
      <c r="B21" s="51" t="s">
        <v>43</v>
      </c>
      <c r="C21" s="57">
        <v>1.4999999999999999E-2</v>
      </c>
      <c r="E21" s="140" t="s">
        <v>3</v>
      </c>
      <c r="F21" s="141"/>
      <c r="G21" s="44" t="s">
        <v>54</v>
      </c>
      <c r="H21" s="57">
        <f>564/1000</f>
        <v>0.56399999999999995</v>
      </c>
      <c r="J21" s="154" t="s">
        <v>3</v>
      </c>
      <c r="K21" s="155"/>
      <c r="L21" s="1" t="s">
        <v>54</v>
      </c>
      <c r="M21" s="57">
        <v>0.60675000000000001</v>
      </c>
      <c r="O21" s="154" t="s">
        <v>3</v>
      </c>
      <c r="P21" s="155"/>
      <c r="Q21" s="1" t="s">
        <v>54</v>
      </c>
      <c r="R21" s="15">
        <v>0.61009999999999998</v>
      </c>
      <c r="T21" s="152" t="s">
        <v>3</v>
      </c>
      <c r="U21" s="153"/>
      <c r="V21" s="1" t="s">
        <v>54</v>
      </c>
      <c r="W21" s="15">
        <v>0.62479999999999991</v>
      </c>
      <c r="X21" s="105"/>
    </row>
    <row r="22" spans="1:24" ht="25.75" customHeight="1" x14ac:dyDescent="0.2">
      <c r="A22" s="51" t="s">
        <v>3</v>
      </c>
      <c r="B22" s="51" t="s">
        <v>54</v>
      </c>
      <c r="C22" s="57">
        <v>0.57999999999999996</v>
      </c>
      <c r="E22" s="140" t="s">
        <v>3</v>
      </c>
      <c r="F22" s="141"/>
      <c r="G22" s="44" t="s">
        <v>55</v>
      </c>
      <c r="H22" s="57">
        <f>40.2/1000</f>
        <v>4.02E-2</v>
      </c>
      <c r="J22" s="154" t="s">
        <v>3</v>
      </c>
      <c r="K22" s="155"/>
      <c r="L22" s="1" t="s">
        <v>55</v>
      </c>
      <c r="M22" s="57">
        <v>3.6850000000000001E-2</v>
      </c>
      <c r="O22" s="154" t="s">
        <v>5</v>
      </c>
      <c r="P22" s="155"/>
      <c r="Q22" s="1" t="s">
        <v>63</v>
      </c>
      <c r="R22" s="15">
        <v>0.51600000000000001</v>
      </c>
      <c r="T22" s="152" t="s">
        <v>3</v>
      </c>
      <c r="U22" s="153"/>
      <c r="V22" s="1" t="s">
        <v>59</v>
      </c>
      <c r="W22" s="57">
        <v>0.15647</v>
      </c>
      <c r="X22" s="105"/>
    </row>
    <row r="23" spans="1:24" ht="26.5" customHeight="1" x14ac:dyDescent="0.2">
      <c r="A23" s="51" t="s">
        <v>3</v>
      </c>
      <c r="B23" s="51" t="s">
        <v>55</v>
      </c>
      <c r="C23" s="57">
        <v>0.04</v>
      </c>
      <c r="E23" s="140" t="s">
        <v>3</v>
      </c>
      <c r="F23" s="141"/>
      <c r="G23" s="44" t="s">
        <v>59</v>
      </c>
      <c r="H23" s="57">
        <v>0.15123918488160301</v>
      </c>
      <c r="J23" s="154" t="s">
        <v>3</v>
      </c>
      <c r="K23" s="155"/>
      <c r="L23" s="1" t="s">
        <v>59</v>
      </c>
      <c r="M23" s="57">
        <v>0.15696280441400298</v>
      </c>
      <c r="O23" s="154" t="s">
        <v>8</v>
      </c>
      <c r="P23" s="155"/>
      <c r="Q23" s="1" t="s">
        <v>69</v>
      </c>
      <c r="R23" s="15">
        <f>407.5164379/1000</f>
        <v>0.40751643790000003</v>
      </c>
      <c r="T23" s="152" t="s">
        <v>5</v>
      </c>
      <c r="U23" s="153"/>
      <c r="V23" s="1" t="s">
        <v>63</v>
      </c>
      <c r="W23" s="15">
        <v>0.56770000000000009</v>
      </c>
      <c r="X23" s="105"/>
    </row>
    <row r="24" spans="1:24" ht="20.5" customHeight="1" x14ac:dyDescent="0.2">
      <c r="A24" s="51" t="s">
        <v>3</v>
      </c>
      <c r="B24" s="51" t="s">
        <v>59</v>
      </c>
      <c r="C24" s="57">
        <v>0.151</v>
      </c>
      <c r="E24" s="142" t="s">
        <v>5</v>
      </c>
      <c r="F24" s="143"/>
      <c r="G24" s="44" t="s">
        <v>63</v>
      </c>
      <c r="H24" s="57">
        <f>603/1000</f>
        <v>0.60299999999999998</v>
      </c>
      <c r="J24" s="154" t="s">
        <v>5</v>
      </c>
      <c r="K24" s="155"/>
      <c r="L24" s="1" t="s">
        <v>63</v>
      </c>
      <c r="M24" s="57">
        <v>0.59036999999999995</v>
      </c>
      <c r="O24" s="154" t="s">
        <v>10</v>
      </c>
      <c r="P24" s="155"/>
      <c r="Q24" s="1" t="s">
        <v>70</v>
      </c>
      <c r="R24" s="57">
        <v>0.45219999999999999</v>
      </c>
      <c r="T24" s="152" t="s">
        <v>8</v>
      </c>
      <c r="U24" s="153"/>
      <c r="V24" s="1" t="s">
        <v>69</v>
      </c>
      <c r="W24" s="15">
        <v>0.45170674663015009</v>
      </c>
      <c r="X24" s="105"/>
    </row>
    <row r="25" spans="1:24" ht="20.5" customHeight="1" x14ac:dyDescent="0.2">
      <c r="A25" s="83" t="s">
        <v>5</v>
      </c>
      <c r="B25" s="51" t="s">
        <v>63</v>
      </c>
      <c r="C25" s="57">
        <v>0.61199999999999999</v>
      </c>
      <c r="E25" s="138" t="s">
        <v>89</v>
      </c>
      <c r="F25" s="139"/>
      <c r="G25" s="44" t="s">
        <v>91</v>
      </c>
      <c r="H25" s="45">
        <f>58/1000</f>
        <v>5.8000000000000003E-2</v>
      </c>
      <c r="J25" s="154" t="s">
        <v>8</v>
      </c>
      <c r="K25" s="155"/>
      <c r="L25" s="1" t="s">
        <v>68</v>
      </c>
      <c r="M25" s="57">
        <v>4.0000000000000001E-3</v>
      </c>
      <c r="O25" s="146" t="s">
        <v>10</v>
      </c>
      <c r="P25" s="147"/>
      <c r="Q25" s="1" t="s">
        <v>72</v>
      </c>
      <c r="R25" s="57">
        <v>1.3982684295581022E-2</v>
      </c>
      <c r="S25" s="119"/>
      <c r="T25" s="152" t="s">
        <v>10</v>
      </c>
      <c r="U25" s="153"/>
      <c r="V25" s="1" t="s">
        <v>70</v>
      </c>
      <c r="W25" s="15">
        <v>0.437</v>
      </c>
      <c r="X25" s="105"/>
    </row>
    <row r="26" spans="1:24" ht="30.5" customHeight="1" x14ac:dyDescent="0.2">
      <c r="A26" s="83" t="s">
        <v>8</v>
      </c>
      <c r="B26" s="51" t="s">
        <v>68</v>
      </c>
      <c r="C26" s="57">
        <v>6.0000000000000001E-3</v>
      </c>
      <c r="E26" s="136" t="s">
        <v>8</v>
      </c>
      <c r="F26" s="137"/>
      <c r="G26" s="44" t="s">
        <v>68</v>
      </c>
      <c r="H26" s="57">
        <v>0.03</v>
      </c>
      <c r="J26" s="154" t="s">
        <v>8</v>
      </c>
      <c r="K26" s="155"/>
      <c r="L26" s="1" t="s">
        <v>69</v>
      </c>
      <c r="M26" s="57">
        <v>0.5717000000000001</v>
      </c>
      <c r="O26" s="154" t="s">
        <v>10</v>
      </c>
      <c r="P26" s="155"/>
      <c r="Q26" s="1" t="s">
        <v>74</v>
      </c>
      <c r="R26" s="57">
        <v>0.11810166659105978</v>
      </c>
      <c r="S26" s="117"/>
      <c r="T26" s="146" t="s">
        <v>10</v>
      </c>
      <c r="U26" s="147"/>
      <c r="V26" s="1" t="s">
        <v>72</v>
      </c>
      <c r="W26" s="15">
        <v>5.1189598699676805E-2</v>
      </c>
      <c r="X26" s="105"/>
    </row>
    <row r="27" spans="1:24" ht="14.5" customHeight="1" x14ac:dyDescent="0.2">
      <c r="A27" s="83" t="s">
        <v>8</v>
      </c>
      <c r="B27" s="51" t="s">
        <v>69</v>
      </c>
      <c r="C27" s="57">
        <v>0.57999999999999996</v>
      </c>
      <c r="E27" s="140" t="s">
        <v>8</v>
      </c>
      <c r="F27" s="141"/>
      <c r="G27" s="44" t="s">
        <v>69</v>
      </c>
      <c r="H27" s="57">
        <f>583.1/1000</f>
        <v>0.58310000000000006</v>
      </c>
      <c r="J27" s="154" t="s">
        <v>10</v>
      </c>
      <c r="K27" s="155"/>
      <c r="L27" s="1" t="s">
        <v>70</v>
      </c>
      <c r="M27" s="57">
        <v>0.41556999999999999</v>
      </c>
      <c r="N27" s="105"/>
      <c r="O27" s="146" t="s">
        <v>12</v>
      </c>
      <c r="P27" s="147"/>
      <c r="Q27" s="1" t="s">
        <v>74</v>
      </c>
      <c r="R27" s="57">
        <v>0.1411475594878378</v>
      </c>
      <c r="S27" s="117"/>
      <c r="T27" s="152" t="s">
        <v>10</v>
      </c>
      <c r="U27" s="153"/>
      <c r="V27" s="1" t="s">
        <v>74</v>
      </c>
      <c r="W27" s="15">
        <v>0.1164112297780744</v>
      </c>
      <c r="X27" s="105"/>
    </row>
    <row r="28" spans="1:24" ht="20.5" customHeight="1" x14ac:dyDescent="0.2">
      <c r="A28" s="51" t="s">
        <v>10</v>
      </c>
      <c r="B28" s="51" t="s">
        <v>70</v>
      </c>
      <c r="C28" s="57">
        <v>0.67</v>
      </c>
      <c r="E28" s="140" t="s">
        <v>10</v>
      </c>
      <c r="F28" s="141"/>
      <c r="G28" s="44" t="s">
        <v>70</v>
      </c>
      <c r="H28" s="57">
        <f>581.4/1000</f>
        <v>0.58140000000000003</v>
      </c>
      <c r="J28" s="154" t="s">
        <v>10</v>
      </c>
      <c r="K28" s="155"/>
      <c r="L28" s="1" t="s">
        <v>72</v>
      </c>
      <c r="M28" s="57">
        <v>4.583647740865527E-2</v>
      </c>
      <c r="O28" s="146" t="s">
        <v>45</v>
      </c>
      <c r="P28" s="147"/>
      <c r="Q28" s="1" t="s">
        <v>75</v>
      </c>
      <c r="R28" s="15">
        <v>1.35293</v>
      </c>
      <c r="T28" s="148" t="s">
        <v>12</v>
      </c>
      <c r="U28" s="149"/>
      <c r="V28" s="1" t="s">
        <v>74</v>
      </c>
      <c r="W28" s="15">
        <v>0.1562924856133269</v>
      </c>
      <c r="X28" s="105"/>
    </row>
    <row r="29" spans="1:24" ht="30.5" customHeight="1" x14ac:dyDescent="0.2">
      <c r="A29" s="51" t="s">
        <v>10</v>
      </c>
      <c r="B29" s="51" t="s">
        <v>72</v>
      </c>
      <c r="C29" s="57">
        <v>8.9240146205990301E-2</v>
      </c>
      <c r="E29" s="140" t="s">
        <v>10</v>
      </c>
      <c r="F29" s="141"/>
      <c r="G29" s="44" t="s">
        <v>72</v>
      </c>
      <c r="H29" s="57">
        <v>7.7286358181623424E-2</v>
      </c>
      <c r="J29" s="154" t="s">
        <v>10</v>
      </c>
      <c r="K29" s="155"/>
      <c r="L29" s="1" t="s">
        <v>74</v>
      </c>
      <c r="M29" s="57">
        <v>0.25953629705931314</v>
      </c>
      <c r="R29" s="151"/>
      <c r="T29" s="148" t="s">
        <v>45</v>
      </c>
      <c r="U29" s="149"/>
      <c r="V29" s="1" t="s">
        <v>75</v>
      </c>
      <c r="W29" s="15">
        <v>1.575</v>
      </c>
    </row>
    <row r="30" spans="1:24" ht="20.5" customHeight="1" x14ac:dyDescent="0.2">
      <c r="A30" s="51" t="s">
        <v>10</v>
      </c>
      <c r="B30" s="51" t="s">
        <v>74</v>
      </c>
      <c r="C30" s="57">
        <v>0.20583283572917793</v>
      </c>
      <c r="E30" s="140" t="s">
        <v>10</v>
      </c>
      <c r="F30" s="141"/>
      <c r="G30" s="44" t="s">
        <v>74</v>
      </c>
      <c r="H30" s="57">
        <v>0.22644123439944486</v>
      </c>
      <c r="J30" s="154" t="s">
        <v>12</v>
      </c>
      <c r="K30" s="155"/>
      <c r="L30" s="1" t="s">
        <v>74</v>
      </c>
      <c r="M30" s="57">
        <v>0.25661583732022419</v>
      </c>
      <c r="Q30" s="47" t="s">
        <v>17</v>
      </c>
      <c r="R30" s="59">
        <f>SUM(R21:R28)</f>
        <v>3.6119783482744792</v>
      </c>
      <c r="W30" s="151"/>
    </row>
    <row r="31" spans="1:24" ht="20.5" customHeight="1" x14ac:dyDescent="0.2">
      <c r="A31" s="83" t="s">
        <v>12</v>
      </c>
      <c r="B31" s="51" t="s">
        <v>74</v>
      </c>
      <c r="C31" s="57">
        <v>0.35941699944262423</v>
      </c>
      <c r="E31" s="140" t="s">
        <v>12</v>
      </c>
      <c r="F31" s="141"/>
      <c r="G31" s="44" t="s">
        <v>74</v>
      </c>
      <c r="H31" s="57">
        <v>0.3962143633203824</v>
      </c>
      <c r="J31" s="154" t="s">
        <v>45</v>
      </c>
      <c r="K31" s="155"/>
      <c r="L31" s="1" t="s">
        <v>75</v>
      </c>
      <c r="M31" s="57">
        <v>1.4596500000000001</v>
      </c>
      <c r="O31" s="107"/>
      <c r="P31" s="89"/>
      <c r="R31" s="105"/>
      <c r="V31" s="47" t="s">
        <v>17</v>
      </c>
      <c r="W31" s="59">
        <f>SUM(W21:W29)</f>
        <v>4.1365700607212288</v>
      </c>
    </row>
    <row r="32" spans="1:24" ht="14.5" customHeight="1" x14ac:dyDescent="0.2">
      <c r="A32" s="83" t="s">
        <v>15</v>
      </c>
      <c r="B32" s="51" t="s">
        <v>75</v>
      </c>
      <c r="C32" s="57">
        <v>1.252</v>
      </c>
      <c r="E32" s="167" t="s">
        <v>45</v>
      </c>
      <c r="F32" s="168"/>
      <c r="G32" s="58" t="s">
        <v>75</v>
      </c>
      <c r="H32" s="57">
        <f>1305/1000</f>
        <v>1.3049999999999999</v>
      </c>
      <c r="M32" s="151"/>
      <c r="O32" s="107"/>
      <c r="P32" s="89"/>
    </row>
    <row r="33" spans="1:16" ht="20.5" customHeight="1" x14ac:dyDescent="0.2">
      <c r="A33" s="48"/>
      <c r="B33" s="48"/>
      <c r="C33" s="150"/>
      <c r="H33" s="151"/>
      <c r="L33" s="47" t="s">
        <v>17</v>
      </c>
      <c r="M33" s="59">
        <f>SUM(M21:M31)</f>
        <v>4.4038414162021962</v>
      </c>
      <c r="O33" s="89"/>
      <c r="P33" s="89"/>
    </row>
    <row r="34" spans="1:16" ht="20.5" customHeight="1" x14ac:dyDescent="0.2">
      <c r="A34" s="48"/>
      <c r="B34" s="55" t="s">
        <v>17</v>
      </c>
      <c r="C34" s="53">
        <f>SUM(C21:C32)</f>
        <v>4.5604899813777919</v>
      </c>
      <c r="E34" s="48"/>
      <c r="F34" s="48"/>
      <c r="G34" s="47" t="s">
        <v>17</v>
      </c>
      <c r="H34" s="59">
        <f>SUM(H21:H32)</f>
        <v>4.6158811407830536</v>
      </c>
      <c r="O34" s="105"/>
    </row>
    <row r="35" spans="1:16" x14ac:dyDescent="0.2">
      <c r="E35" s="48"/>
      <c r="F35" s="48"/>
      <c r="J35" s="48"/>
    </row>
  </sheetData>
  <mergeCells count="42">
    <mergeCell ref="E32:F32"/>
    <mergeCell ref="A1:K1"/>
    <mergeCell ref="C2:K2"/>
    <mergeCell ref="J29:K29"/>
    <mergeCell ref="J21:K21"/>
    <mergeCell ref="J22:K22"/>
    <mergeCell ref="J25:K25"/>
    <mergeCell ref="J28:K28"/>
    <mergeCell ref="J27:K27"/>
    <mergeCell ref="J23:K23"/>
    <mergeCell ref="J24:K24"/>
    <mergeCell ref="J26:K26"/>
    <mergeCell ref="G19:G20"/>
    <mergeCell ref="E18:H18"/>
    <mergeCell ref="A2:A3"/>
    <mergeCell ref="B2:B3"/>
    <mergeCell ref="J31:K31"/>
    <mergeCell ref="A18:C18"/>
    <mergeCell ref="J30:K30"/>
    <mergeCell ref="E19:F20"/>
    <mergeCell ref="A19:A20"/>
    <mergeCell ref="B19:B20"/>
    <mergeCell ref="O18:R18"/>
    <mergeCell ref="O19:P20"/>
    <mergeCell ref="Q19:Q20"/>
    <mergeCell ref="O21:P21"/>
    <mergeCell ref="J18:M18"/>
    <mergeCell ref="J19:K20"/>
    <mergeCell ref="L19:L20"/>
    <mergeCell ref="T18:W18"/>
    <mergeCell ref="T19:U20"/>
    <mergeCell ref="V19:V20"/>
    <mergeCell ref="T21:U21"/>
    <mergeCell ref="T23:U23"/>
    <mergeCell ref="T22:U22"/>
    <mergeCell ref="T27:U27"/>
    <mergeCell ref="O22:P22"/>
    <mergeCell ref="O23:P23"/>
    <mergeCell ref="O24:P24"/>
    <mergeCell ref="O26:P26"/>
    <mergeCell ref="T24:U24"/>
    <mergeCell ref="T25:U25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3"/>
  <sheetViews>
    <sheetView topLeftCell="A17" zoomScale="89" zoomScaleNormal="25" workbookViewId="0">
      <selection activeCell="K4" sqref="K4:K6"/>
    </sheetView>
  </sheetViews>
  <sheetFormatPr baseColWidth="10" defaultColWidth="11.5" defaultRowHeight="15" x14ac:dyDescent="0.2"/>
  <cols>
    <col min="1" max="2" width="30.83203125" customWidth="1"/>
    <col min="3" max="3" width="12.83203125" customWidth="1"/>
    <col min="4" max="4" width="13.1640625" customWidth="1"/>
    <col min="5" max="5" width="20.1640625" customWidth="1"/>
    <col min="6" max="6" width="17.1640625" customWidth="1"/>
    <col min="7" max="7" width="13" customWidth="1"/>
    <col min="9" max="9" width="19.5" customWidth="1"/>
    <col min="10" max="10" width="13" bestFit="1" customWidth="1"/>
    <col min="11" max="11" width="17.83203125" customWidth="1"/>
    <col min="13" max="13" width="19.83203125" customWidth="1"/>
    <col min="14" max="14" width="20.5" customWidth="1"/>
    <col min="15" max="15" width="15.6640625" customWidth="1"/>
    <col min="17" max="17" width="18.6640625" customWidth="1"/>
    <col min="18" max="18" width="17.1640625" customWidth="1"/>
    <col min="19" max="19" width="18.83203125" customWidth="1"/>
  </cols>
  <sheetData>
    <row r="1" spans="1:16" ht="30" customHeight="1" x14ac:dyDescent="0.2">
      <c r="A1" s="162" t="s">
        <v>18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6" x14ac:dyDescent="0.2">
      <c r="A2" s="162" t="s">
        <v>1</v>
      </c>
      <c r="B2" s="162" t="s">
        <v>2</v>
      </c>
      <c r="C2" s="162" t="s">
        <v>44</v>
      </c>
      <c r="D2" s="162"/>
      <c r="E2" s="162"/>
      <c r="F2" s="162"/>
      <c r="G2" s="162"/>
      <c r="H2" s="162"/>
      <c r="I2" s="162"/>
      <c r="J2" s="162"/>
      <c r="K2" s="162"/>
    </row>
    <row r="3" spans="1:16" x14ac:dyDescent="0.2">
      <c r="A3" s="162"/>
      <c r="B3" s="162"/>
      <c r="C3" s="120">
        <v>2012</v>
      </c>
      <c r="D3" s="120">
        <v>2013</v>
      </c>
      <c r="E3" s="120">
        <v>2014</v>
      </c>
      <c r="F3" s="120">
        <v>2015</v>
      </c>
      <c r="G3" s="120">
        <v>2016</v>
      </c>
      <c r="H3" s="120">
        <v>2017</v>
      </c>
      <c r="I3" s="120">
        <v>2018</v>
      </c>
      <c r="J3" s="120">
        <v>2019</v>
      </c>
      <c r="K3" s="120">
        <v>2020</v>
      </c>
      <c r="L3" s="9"/>
    </row>
    <row r="4" spans="1:16" ht="15" customHeight="1" x14ac:dyDescent="0.2">
      <c r="A4" s="83" t="s">
        <v>19</v>
      </c>
      <c r="B4" s="83" t="s">
        <v>20</v>
      </c>
      <c r="C4" s="84">
        <v>0.1</v>
      </c>
      <c r="D4" s="84">
        <v>0.1</v>
      </c>
      <c r="E4" s="71">
        <v>0.104</v>
      </c>
      <c r="F4" s="71">
        <v>0.124</v>
      </c>
      <c r="G4" s="43">
        <v>0.109</v>
      </c>
      <c r="H4" s="43">
        <v>0.114</v>
      </c>
      <c r="I4" s="43">
        <v>0.128</v>
      </c>
      <c r="J4" s="43">
        <v>0.11985</v>
      </c>
      <c r="K4" s="43">
        <v>0.11559999999999999</v>
      </c>
      <c r="L4" s="126"/>
    </row>
    <row r="5" spans="1:16" ht="15" customHeight="1" x14ac:dyDescent="0.2">
      <c r="A5" s="83" t="s">
        <v>19</v>
      </c>
      <c r="B5" s="83" t="s">
        <v>21</v>
      </c>
      <c r="C5" s="84">
        <v>0.7</v>
      </c>
      <c r="D5" s="84">
        <v>0.7</v>
      </c>
      <c r="E5" s="71">
        <v>0.65300000000000002</v>
      </c>
      <c r="F5" s="71">
        <v>0.65300000000000002</v>
      </c>
      <c r="G5" s="43">
        <v>0.63400000000000001</v>
      </c>
      <c r="H5" s="125">
        <v>0.64100000000000001</v>
      </c>
      <c r="I5" s="125">
        <v>0.70899999999999996</v>
      </c>
      <c r="J5" s="43">
        <v>0.61599999999999999</v>
      </c>
      <c r="K5" s="43">
        <v>0.68700000000000006</v>
      </c>
      <c r="L5" s="126"/>
    </row>
    <row r="6" spans="1:16" ht="15" customHeight="1" x14ac:dyDescent="0.2">
      <c r="A6" s="83" t="s">
        <v>19</v>
      </c>
      <c r="B6" s="83" t="s">
        <v>22</v>
      </c>
      <c r="C6" s="84">
        <v>0.30000000000000004</v>
      </c>
      <c r="D6" s="84">
        <v>0.3</v>
      </c>
      <c r="E6" s="71">
        <v>0.16700000000000001</v>
      </c>
      <c r="F6" s="71">
        <v>0.26300000000000001</v>
      </c>
      <c r="G6" s="43">
        <v>0.25900000000000001</v>
      </c>
      <c r="H6" s="50">
        <v>0.254</v>
      </c>
      <c r="I6" s="50">
        <v>0.15825</v>
      </c>
      <c r="J6" s="43">
        <v>0.33767999999999998</v>
      </c>
      <c r="K6" s="43">
        <v>0.32100000000000001</v>
      </c>
      <c r="L6" s="126"/>
    </row>
    <row r="7" spans="1:16" ht="15" customHeight="1" x14ac:dyDescent="0.2">
      <c r="A7" s="83" t="s">
        <v>3</v>
      </c>
      <c r="B7" s="83" t="s">
        <v>23</v>
      </c>
      <c r="C7" s="84">
        <v>0.3</v>
      </c>
      <c r="D7" s="84">
        <v>0.2</v>
      </c>
      <c r="E7" s="71">
        <v>0.26</v>
      </c>
      <c r="F7" s="71">
        <v>0.26800000000000002</v>
      </c>
      <c r="G7" s="43">
        <v>0.21099999999999999</v>
      </c>
      <c r="H7" s="50">
        <v>0.221</v>
      </c>
      <c r="I7" s="50">
        <v>0.18690000000000001</v>
      </c>
      <c r="J7" s="43">
        <v>0.20399999999999999</v>
      </c>
      <c r="K7" s="43">
        <v>0.20300000000000001</v>
      </c>
      <c r="L7" s="126"/>
    </row>
    <row r="8" spans="1:16" ht="15" customHeight="1" x14ac:dyDescent="0.2">
      <c r="A8" s="83" t="s">
        <v>3</v>
      </c>
      <c r="B8" s="83" t="s">
        <v>4</v>
      </c>
      <c r="C8" s="84">
        <v>1.3</v>
      </c>
      <c r="D8" s="84">
        <v>1.3</v>
      </c>
      <c r="E8" s="71">
        <v>1.5</v>
      </c>
      <c r="F8" s="71">
        <v>1.583</v>
      </c>
      <c r="G8" s="43">
        <v>1.327</v>
      </c>
      <c r="H8" s="50">
        <v>1.37</v>
      </c>
      <c r="I8" s="50">
        <v>1.7010838203957381</v>
      </c>
      <c r="J8" s="43">
        <v>1.2882200000000001</v>
      </c>
      <c r="K8" s="43">
        <v>1.3123384</v>
      </c>
      <c r="L8" s="126"/>
    </row>
    <row r="9" spans="1:16" ht="15" customHeight="1" x14ac:dyDescent="0.2">
      <c r="A9" s="83" t="s">
        <v>3</v>
      </c>
      <c r="B9" s="83" t="s">
        <v>24</v>
      </c>
      <c r="C9" s="84">
        <v>0.4</v>
      </c>
      <c r="D9" s="84">
        <v>0.4</v>
      </c>
      <c r="E9" s="71">
        <v>0.36199999999999999</v>
      </c>
      <c r="F9" s="71">
        <v>0.39700000000000002</v>
      </c>
      <c r="G9" s="43">
        <v>0.40799999999999997</v>
      </c>
      <c r="H9" s="50">
        <v>0.436</v>
      </c>
      <c r="I9" s="50">
        <v>0.42054062507943801</v>
      </c>
      <c r="J9" s="43">
        <v>0.42988999999999999</v>
      </c>
      <c r="K9" s="43">
        <v>0.39746000000000004</v>
      </c>
      <c r="L9" s="126"/>
    </row>
    <row r="10" spans="1:16" ht="15" customHeight="1" x14ac:dyDescent="0.2">
      <c r="A10" s="83" t="s">
        <v>3</v>
      </c>
      <c r="B10" s="83" t="s">
        <v>25</v>
      </c>
      <c r="C10" s="84">
        <v>0.3</v>
      </c>
      <c r="D10" s="84">
        <v>0.3</v>
      </c>
      <c r="E10" s="71">
        <v>0.36399999999999999</v>
      </c>
      <c r="F10" s="71">
        <v>0.29299999999999998</v>
      </c>
      <c r="G10" s="43">
        <v>0.29199999999999998</v>
      </c>
      <c r="H10" s="50">
        <v>7.5496688741721857E-2</v>
      </c>
      <c r="I10" s="50">
        <v>1.1892857142857143E-2</v>
      </c>
      <c r="J10" s="43">
        <v>1.1810000000000001E-2</v>
      </c>
      <c r="K10" s="43">
        <v>1.2320000000000001E-2</v>
      </c>
      <c r="L10" s="145"/>
      <c r="P10" s="145"/>
    </row>
    <row r="11" spans="1:16" ht="15" customHeight="1" x14ac:dyDescent="0.2">
      <c r="A11" s="83" t="s">
        <v>3</v>
      </c>
      <c r="B11" s="83" t="s">
        <v>26</v>
      </c>
      <c r="C11" s="84">
        <v>1.2</v>
      </c>
      <c r="D11" s="84">
        <v>1.3</v>
      </c>
      <c r="E11" s="71">
        <v>1.3049999999999999</v>
      </c>
      <c r="F11" s="71">
        <v>1.399</v>
      </c>
      <c r="G11" s="43">
        <v>1.3720000000000001</v>
      </c>
      <c r="H11" s="50">
        <v>1.4445033112582781</v>
      </c>
      <c r="I11" s="50">
        <v>1.3201071428571429</v>
      </c>
      <c r="J11" s="43">
        <v>1.2961199999999999</v>
      </c>
      <c r="K11" s="43" t="s">
        <v>47</v>
      </c>
      <c r="L11" s="145"/>
      <c r="P11" s="145"/>
    </row>
    <row r="12" spans="1:16" ht="15" customHeight="1" x14ac:dyDescent="0.2">
      <c r="A12" s="83" t="s">
        <v>3</v>
      </c>
      <c r="B12" s="83" t="s">
        <v>27</v>
      </c>
      <c r="C12" s="85">
        <v>0.02</v>
      </c>
      <c r="D12" s="85">
        <v>0.02</v>
      </c>
      <c r="E12" s="71">
        <v>0.02</v>
      </c>
      <c r="F12" s="71">
        <v>0.02</v>
      </c>
      <c r="G12" s="43">
        <v>0.02</v>
      </c>
      <c r="H12" s="50">
        <v>2.3E-2</v>
      </c>
      <c r="I12" s="50">
        <v>1.9449999999999999E-2</v>
      </c>
      <c r="J12" s="43">
        <v>2.2579999999999999E-2</v>
      </c>
      <c r="K12" s="43">
        <v>2.1170000000000001E-2</v>
      </c>
      <c r="L12" s="126"/>
      <c r="P12" s="126"/>
    </row>
    <row r="13" spans="1:16" ht="15" customHeight="1" x14ac:dyDescent="0.2">
      <c r="A13" s="83" t="s">
        <v>3</v>
      </c>
      <c r="B13" s="83" t="s">
        <v>28</v>
      </c>
      <c r="C13" s="85">
        <v>0.02</v>
      </c>
      <c r="D13" s="85">
        <v>0.02</v>
      </c>
      <c r="E13" s="70" t="s">
        <v>47</v>
      </c>
      <c r="F13" s="70" t="s">
        <v>47</v>
      </c>
      <c r="G13" s="43" t="s">
        <v>47</v>
      </c>
      <c r="H13" s="50" t="s">
        <v>47</v>
      </c>
      <c r="I13" s="50" t="s">
        <v>47</v>
      </c>
      <c r="J13" s="50" t="s">
        <v>47</v>
      </c>
      <c r="K13" s="43" t="s">
        <v>47</v>
      </c>
      <c r="L13" s="126"/>
    </row>
    <row r="14" spans="1:16" ht="15" customHeight="1" x14ac:dyDescent="0.2">
      <c r="A14" s="83" t="s">
        <v>5</v>
      </c>
      <c r="B14" s="83" t="s">
        <v>35</v>
      </c>
      <c r="C14" s="85">
        <v>7.0000000000000007E-2</v>
      </c>
      <c r="D14" s="85">
        <v>7.0000000000000007E-2</v>
      </c>
      <c r="E14" s="71">
        <v>5.0000000000000001E-3</v>
      </c>
      <c r="F14" s="70" t="s">
        <v>47</v>
      </c>
      <c r="G14" s="43" t="s">
        <v>47</v>
      </c>
      <c r="H14" s="50" t="s">
        <v>47</v>
      </c>
      <c r="I14" s="50" t="s">
        <v>47</v>
      </c>
      <c r="J14" s="45" t="s">
        <v>47</v>
      </c>
      <c r="K14" s="43" t="s">
        <v>47</v>
      </c>
      <c r="L14" s="126"/>
    </row>
    <row r="15" spans="1:16" ht="15" customHeight="1" x14ac:dyDescent="0.2">
      <c r="A15" s="83" t="s">
        <v>5</v>
      </c>
      <c r="B15" s="83" t="s">
        <v>7</v>
      </c>
      <c r="C15" s="84">
        <v>0.2</v>
      </c>
      <c r="D15" s="84">
        <v>0.2</v>
      </c>
      <c r="E15" s="71">
        <v>0.19600000000000001</v>
      </c>
      <c r="F15" s="71">
        <v>0.19600000000000001</v>
      </c>
      <c r="G15" s="43">
        <v>0.218</v>
      </c>
      <c r="H15" s="50">
        <v>0.16500000000000001</v>
      </c>
      <c r="I15" s="50">
        <v>0.12256</v>
      </c>
      <c r="J15" s="43">
        <v>7.4999999999999997E-2</v>
      </c>
      <c r="K15" s="43">
        <v>7.0999999999999994E-2</v>
      </c>
      <c r="L15" s="126"/>
    </row>
    <row r="16" spans="1:16" ht="15" customHeight="1" x14ac:dyDescent="0.2">
      <c r="A16" s="83" t="s">
        <v>5</v>
      </c>
      <c r="B16" s="83" t="s">
        <v>29</v>
      </c>
      <c r="C16" s="84">
        <v>0.8</v>
      </c>
      <c r="D16" s="84">
        <v>0.3</v>
      </c>
      <c r="E16" s="71">
        <v>7.0000000000000007E-2</v>
      </c>
      <c r="F16" s="71">
        <v>7.2999999999999995E-2</v>
      </c>
      <c r="G16" s="43">
        <v>0.04</v>
      </c>
      <c r="H16" s="50">
        <v>0.04</v>
      </c>
      <c r="I16" s="50" t="s">
        <v>47</v>
      </c>
      <c r="J16" s="50" t="s">
        <v>47</v>
      </c>
      <c r="K16" s="43"/>
      <c r="L16" s="126"/>
    </row>
    <row r="17" spans="1:20" ht="15" customHeight="1" x14ac:dyDescent="0.2">
      <c r="A17" s="83" t="s">
        <v>5</v>
      </c>
      <c r="B17" s="83" t="s">
        <v>6</v>
      </c>
      <c r="C17" s="84">
        <v>0.2</v>
      </c>
      <c r="D17" s="84">
        <v>0.1</v>
      </c>
      <c r="E17" s="71">
        <v>0.19800000000000001</v>
      </c>
      <c r="F17" s="71">
        <v>0.192</v>
      </c>
      <c r="G17" s="43">
        <v>0.27100000000000002</v>
      </c>
      <c r="H17" s="50">
        <v>0.20300000000000001</v>
      </c>
      <c r="I17" s="50">
        <v>0.17269999999999999</v>
      </c>
      <c r="J17" s="43">
        <v>0.27300000000000002</v>
      </c>
      <c r="K17" s="43">
        <v>0.2893</v>
      </c>
      <c r="L17" s="126"/>
    </row>
    <row r="18" spans="1:20" ht="15" customHeight="1" x14ac:dyDescent="0.2">
      <c r="A18" s="83" t="s">
        <v>5</v>
      </c>
      <c r="B18" s="83" t="s">
        <v>30</v>
      </c>
      <c r="C18" s="70" t="s">
        <v>47</v>
      </c>
      <c r="D18" s="70" t="s">
        <v>47</v>
      </c>
      <c r="E18" s="71">
        <v>4.0000000000000001E-3</v>
      </c>
      <c r="F18" s="70" t="s">
        <v>47</v>
      </c>
      <c r="G18" s="43" t="s">
        <v>47</v>
      </c>
      <c r="H18" s="54" t="s">
        <v>47</v>
      </c>
      <c r="I18" s="54" t="s">
        <v>47</v>
      </c>
      <c r="J18" s="54" t="s">
        <v>47</v>
      </c>
      <c r="K18" s="43" t="s">
        <v>47</v>
      </c>
      <c r="L18" s="126"/>
      <c r="M18" s="126"/>
      <c r="N18" s="113"/>
      <c r="O18" s="105"/>
    </row>
    <row r="19" spans="1:20" ht="15" customHeight="1" x14ac:dyDescent="0.2">
      <c r="A19" s="83" t="s">
        <v>89</v>
      </c>
      <c r="B19" s="83" t="s">
        <v>90</v>
      </c>
      <c r="C19" s="84" t="s">
        <v>47</v>
      </c>
      <c r="D19" s="84" t="s">
        <v>47</v>
      </c>
      <c r="E19" s="84" t="s">
        <v>47</v>
      </c>
      <c r="F19" s="84" t="s">
        <v>47</v>
      </c>
      <c r="G19" s="84" t="s">
        <v>47</v>
      </c>
      <c r="H19" s="84">
        <v>7.8E-2</v>
      </c>
      <c r="I19" s="84" t="s">
        <v>47</v>
      </c>
      <c r="J19" s="84" t="s">
        <v>47</v>
      </c>
      <c r="K19" s="84" t="s">
        <v>47</v>
      </c>
      <c r="L19" s="126"/>
      <c r="M19" s="126"/>
      <c r="N19" s="113"/>
      <c r="O19" s="105"/>
    </row>
    <row r="20" spans="1:20" ht="15" customHeight="1" x14ac:dyDescent="0.2">
      <c r="A20" s="83" t="s">
        <v>8</v>
      </c>
      <c r="B20" s="83" t="s">
        <v>31</v>
      </c>
      <c r="C20" s="84">
        <v>0.3</v>
      </c>
      <c r="D20" s="84">
        <v>0.3</v>
      </c>
      <c r="E20" s="84">
        <v>0.29099999999999998</v>
      </c>
      <c r="F20" s="84">
        <v>0.314</v>
      </c>
      <c r="G20" s="84">
        <v>0.31</v>
      </c>
      <c r="H20" s="84">
        <v>0.33900000000000002</v>
      </c>
      <c r="I20" s="84">
        <v>0.30099999999999999</v>
      </c>
      <c r="J20" s="84">
        <v>0.26600000000000001</v>
      </c>
      <c r="K20" s="84">
        <v>0.29499999999999998</v>
      </c>
      <c r="L20" s="126"/>
      <c r="M20" s="126"/>
      <c r="N20" s="113"/>
      <c r="O20" s="105"/>
    </row>
    <row r="21" spans="1:20" ht="15" customHeight="1" x14ac:dyDescent="0.2">
      <c r="A21" s="83" t="s">
        <v>8</v>
      </c>
      <c r="B21" s="83" t="s">
        <v>9</v>
      </c>
      <c r="C21" s="84">
        <v>0.1</v>
      </c>
      <c r="D21" s="84">
        <v>7.0000000000000007E-2</v>
      </c>
      <c r="E21" s="84">
        <v>0.08</v>
      </c>
      <c r="F21" s="84">
        <v>2.5999999999999999E-2</v>
      </c>
      <c r="G21" s="84">
        <v>1.7000000000000001E-2</v>
      </c>
      <c r="H21" s="84">
        <v>3.6999999999999998E-2</v>
      </c>
      <c r="I21" s="84">
        <v>7.9930000000000001E-2</v>
      </c>
      <c r="J21" s="84">
        <v>8.3017199898623897E-2</v>
      </c>
      <c r="K21" s="84">
        <v>7.3930545867106998E-2</v>
      </c>
      <c r="L21" s="126"/>
      <c r="M21" s="126"/>
    </row>
    <row r="22" spans="1:20" ht="15" customHeight="1" x14ac:dyDescent="0.2">
      <c r="A22" s="83" t="s">
        <v>10</v>
      </c>
      <c r="B22" s="83" t="s">
        <v>11</v>
      </c>
      <c r="C22" s="84">
        <v>0.4</v>
      </c>
      <c r="D22" s="84">
        <v>0.3</v>
      </c>
      <c r="E22" s="84">
        <v>0.26200000000000001</v>
      </c>
      <c r="F22" s="84">
        <v>0.253</v>
      </c>
      <c r="G22" s="84">
        <v>0.22883089251062941</v>
      </c>
      <c r="H22" s="84">
        <v>0.24145385646166287</v>
      </c>
      <c r="I22" s="84">
        <v>0.31246644185415084</v>
      </c>
      <c r="J22" s="84">
        <v>0.34377759495410498</v>
      </c>
      <c r="K22" s="84">
        <v>0.34012146160470519</v>
      </c>
      <c r="L22" s="126"/>
      <c r="M22" s="126"/>
    </row>
    <row r="23" spans="1:20" ht="15" customHeight="1" x14ac:dyDescent="0.2">
      <c r="A23" s="83" t="s">
        <v>10</v>
      </c>
      <c r="B23" s="83" t="s">
        <v>32</v>
      </c>
      <c r="C23" s="84">
        <v>0.03</v>
      </c>
      <c r="D23" s="84">
        <v>0.03</v>
      </c>
      <c r="E23" s="84">
        <v>2.9000000000000001E-2</v>
      </c>
      <c r="F23" s="84">
        <v>2.9000000000000001E-2</v>
      </c>
      <c r="G23" s="84">
        <v>3.1E-2</v>
      </c>
      <c r="H23" s="84">
        <v>0.03</v>
      </c>
      <c r="I23" s="84">
        <v>3.0929999999999999E-2</v>
      </c>
      <c r="J23" s="84">
        <v>2.8309999999999998E-2</v>
      </c>
      <c r="K23" s="84">
        <v>2.5999999999999999E-2</v>
      </c>
      <c r="L23" s="126"/>
      <c r="M23" s="126"/>
    </row>
    <row r="24" spans="1:20" ht="15" customHeight="1" x14ac:dyDescent="0.2">
      <c r="A24" s="83" t="s">
        <v>12</v>
      </c>
      <c r="B24" s="83" t="s">
        <v>13</v>
      </c>
      <c r="C24" s="84">
        <v>0.2</v>
      </c>
      <c r="D24" s="84">
        <v>0.4</v>
      </c>
      <c r="E24" s="84">
        <v>4.1000000000000002E-2</v>
      </c>
      <c r="F24" s="84">
        <v>3.9E-2</v>
      </c>
      <c r="G24" s="84">
        <v>2.8283464367344552E-2</v>
      </c>
      <c r="H24" s="84">
        <v>2.2568687952044159E-2</v>
      </c>
      <c r="I24" s="84">
        <v>2.260997013148168E-2</v>
      </c>
      <c r="J24" s="84">
        <v>2.3913162548852895E-2</v>
      </c>
      <c r="K24" s="84">
        <v>1.862903177303912E-2</v>
      </c>
      <c r="L24" s="126"/>
      <c r="M24" s="126"/>
    </row>
    <row r="25" spans="1:20" x14ac:dyDescent="0.2">
      <c r="A25" s="83" t="s">
        <v>45</v>
      </c>
      <c r="B25" s="83" t="s">
        <v>46</v>
      </c>
      <c r="C25" s="84" t="s">
        <v>47</v>
      </c>
      <c r="D25" s="84" t="s">
        <v>47</v>
      </c>
      <c r="E25" s="84" t="s">
        <v>47</v>
      </c>
      <c r="F25" s="84">
        <v>1.7999999999999999E-2</v>
      </c>
      <c r="G25" s="84">
        <v>1.7000000000000001E-2</v>
      </c>
      <c r="H25" s="84">
        <v>6.0000000000000001E-3</v>
      </c>
      <c r="I25" s="84">
        <v>1.0500000000000001E-2</v>
      </c>
      <c r="J25" s="84" t="s">
        <v>47</v>
      </c>
      <c r="K25" s="84">
        <v>6.2199999999999998E-3</v>
      </c>
      <c r="L25" s="126"/>
      <c r="M25" s="126"/>
    </row>
    <row r="26" spans="1:20" x14ac:dyDescent="0.2">
      <c r="A26" s="48"/>
      <c r="B26" s="48"/>
      <c r="C26" s="48"/>
      <c r="D26" s="48"/>
      <c r="E26" s="48"/>
      <c r="F26" s="48"/>
      <c r="G26" s="48"/>
      <c r="H26" s="48"/>
      <c r="I26" s="48"/>
    </row>
    <row r="27" spans="1:20" x14ac:dyDescent="0.2">
      <c r="A27" s="48"/>
      <c r="B27" s="55" t="s">
        <v>17</v>
      </c>
      <c r="C27" s="52">
        <v>6.9</v>
      </c>
      <c r="D27" s="52">
        <v>6.4</v>
      </c>
      <c r="E27" s="53">
        <f t="shared" ref="E27:K27" si="0">SUM(E4:E25)</f>
        <v>5.9109999999999996</v>
      </c>
      <c r="F27" s="53">
        <f t="shared" si="0"/>
        <v>6.14</v>
      </c>
      <c r="G27" s="53">
        <f t="shared" si="0"/>
        <v>5.7931143568779735</v>
      </c>
      <c r="H27" s="56">
        <f t="shared" si="0"/>
        <v>5.7410225444137089</v>
      </c>
      <c r="I27" s="56">
        <f t="shared" si="0"/>
        <v>5.7079208574608096</v>
      </c>
      <c r="J27" s="56">
        <f t="shared" si="0"/>
        <v>5.419167957401581</v>
      </c>
      <c r="K27" s="56">
        <f t="shared" si="0"/>
        <v>4.1900894392448516</v>
      </c>
    </row>
    <row r="28" spans="1:20" x14ac:dyDescent="0.2">
      <c r="E28" s="16"/>
    </row>
    <row r="29" spans="1:20" ht="30" customHeight="1" x14ac:dyDescent="0.2">
      <c r="A29" s="162" t="s">
        <v>86</v>
      </c>
      <c r="B29" s="162"/>
      <c r="C29" s="162"/>
      <c r="E29" s="162" t="s">
        <v>86</v>
      </c>
      <c r="F29" s="162"/>
      <c r="G29" s="162"/>
      <c r="I29" s="162" t="s">
        <v>86</v>
      </c>
      <c r="J29" s="162"/>
      <c r="K29" s="162"/>
      <c r="M29" s="162" t="s">
        <v>86</v>
      </c>
      <c r="N29" s="162"/>
      <c r="O29" s="162"/>
      <c r="Q29" s="162" t="s">
        <v>86</v>
      </c>
      <c r="R29" s="162"/>
      <c r="S29" s="162"/>
    </row>
    <row r="30" spans="1:20" x14ac:dyDescent="0.2">
      <c r="A30" s="166" t="s">
        <v>1</v>
      </c>
      <c r="B30" s="166" t="s">
        <v>85</v>
      </c>
      <c r="C30" s="18" t="s">
        <v>44</v>
      </c>
      <c r="E30" s="166" t="s">
        <v>1</v>
      </c>
      <c r="F30" s="166" t="s">
        <v>85</v>
      </c>
      <c r="G30" s="32" t="s">
        <v>44</v>
      </c>
      <c r="I30" s="162" t="s">
        <v>1</v>
      </c>
      <c r="J30" s="162" t="s">
        <v>85</v>
      </c>
      <c r="K30" s="97" t="s">
        <v>44</v>
      </c>
      <c r="M30" s="162" t="s">
        <v>1</v>
      </c>
      <c r="N30" s="162" t="s">
        <v>85</v>
      </c>
      <c r="O30" s="108" t="s">
        <v>44</v>
      </c>
      <c r="Q30" s="162" t="s">
        <v>1</v>
      </c>
      <c r="R30" s="162" t="s">
        <v>85</v>
      </c>
      <c r="S30" s="120" t="s">
        <v>44</v>
      </c>
    </row>
    <row r="31" spans="1:20" x14ac:dyDescent="0.2">
      <c r="A31" s="166"/>
      <c r="B31" s="166"/>
      <c r="C31" s="17">
        <v>2016</v>
      </c>
      <c r="E31" s="166"/>
      <c r="F31" s="166"/>
      <c r="G31" s="32">
        <v>2017</v>
      </c>
      <c r="I31" s="162"/>
      <c r="J31" s="162"/>
      <c r="K31" s="97">
        <v>2018</v>
      </c>
      <c r="M31" s="162"/>
      <c r="N31" s="162"/>
      <c r="O31" s="108">
        <v>2019</v>
      </c>
      <c r="Q31" s="162"/>
      <c r="R31" s="162"/>
      <c r="S31" s="120">
        <v>2020</v>
      </c>
    </row>
    <row r="32" spans="1:20" x14ac:dyDescent="0.2">
      <c r="A32" s="1" t="s">
        <v>19</v>
      </c>
      <c r="B32" s="1" t="s">
        <v>51</v>
      </c>
      <c r="C32" s="96">
        <v>0.109</v>
      </c>
      <c r="D32" s="101"/>
      <c r="E32" s="90" t="s">
        <v>19</v>
      </c>
      <c r="F32" s="42" t="s">
        <v>51</v>
      </c>
      <c r="G32" s="96">
        <v>0.114</v>
      </c>
      <c r="H32" s="101"/>
      <c r="I32" s="1" t="s">
        <v>19</v>
      </c>
      <c r="J32" s="42" t="s">
        <v>51</v>
      </c>
      <c r="K32" s="96">
        <v>0.128</v>
      </c>
      <c r="M32" s="1" t="s">
        <v>19</v>
      </c>
      <c r="N32" s="42" t="s">
        <v>51</v>
      </c>
      <c r="O32" s="3">
        <v>0.11985</v>
      </c>
      <c r="Q32" s="1" t="s">
        <v>19</v>
      </c>
      <c r="R32" s="1" t="s">
        <v>51</v>
      </c>
      <c r="S32" s="106">
        <v>0.11559999999999999</v>
      </c>
      <c r="T32" s="16"/>
    </row>
    <row r="33" spans="1:20" ht="24" x14ac:dyDescent="0.2">
      <c r="A33" s="1" t="s">
        <v>19</v>
      </c>
      <c r="B33" s="1" t="s">
        <v>52</v>
      </c>
      <c r="C33" s="96">
        <v>0.84299999999999997</v>
      </c>
      <c r="D33" s="102"/>
      <c r="E33" s="90" t="s">
        <v>19</v>
      </c>
      <c r="F33" s="42" t="s">
        <v>52</v>
      </c>
      <c r="G33" s="96">
        <v>0.84499999999999997</v>
      </c>
      <c r="H33" s="102"/>
      <c r="I33" s="1" t="s">
        <v>19</v>
      </c>
      <c r="J33" s="42" t="s">
        <v>52</v>
      </c>
      <c r="K33" s="96">
        <v>0.81399999999999995</v>
      </c>
      <c r="M33" s="1" t="s">
        <v>19</v>
      </c>
      <c r="N33" s="42" t="s">
        <v>52</v>
      </c>
      <c r="O33" s="3">
        <v>0.83399999999999996</v>
      </c>
      <c r="Q33" s="1" t="s">
        <v>19</v>
      </c>
      <c r="R33" s="1" t="s">
        <v>52</v>
      </c>
      <c r="S33" s="3">
        <v>0.89100000000000001</v>
      </c>
      <c r="T33" s="16"/>
    </row>
    <row r="34" spans="1:20" x14ac:dyDescent="0.2">
      <c r="A34" s="1" t="s">
        <v>19</v>
      </c>
      <c r="B34" s="1" t="s">
        <v>43</v>
      </c>
      <c r="C34" s="96">
        <v>0.05</v>
      </c>
      <c r="D34" s="89"/>
      <c r="E34" s="41" t="s">
        <v>19</v>
      </c>
      <c r="F34" s="42" t="s">
        <v>43</v>
      </c>
      <c r="G34" s="43">
        <v>0.05</v>
      </c>
      <c r="I34" s="1" t="s">
        <v>19</v>
      </c>
      <c r="J34" s="44" t="s">
        <v>43</v>
      </c>
      <c r="K34" s="3">
        <v>5.3249999999999999E-2</v>
      </c>
      <c r="M34" s="1" t="s">
        <v>19</v>
      </c>
      <c r="N34" s="44" t="s">
        <v>43</v>
      </c>
      <c r="O34" s="3">
        <v>0.12</v>
      </c>
      <c r="Q34" s="1" t="s">
        <v>19</v>
      </c>
      <c r="R34" s="44" t="s">
        <v>43</v>
      </c>
      <c r="S34" s="3">
        <v>0.11700000000000001</v>
      </c>
      <c r="T34" s="16"/>
    </row>
    <row r="35" spans="1:20" x14ac:dyDescent="0.2">
      <c r="A35" s="1" t="s">
        <v>3</v>
      </c>
      <c r="B35" s="1" t="s">
        <v>53</v>
      </c>
      <c r="C35" s="96">
        <v>0.21099999999999999</v>
      </c>
      <c r="E35" s="1" t="s">
        <v>3</v>
      </c>
      <c r="F35" s="42" t="s">
        <v>53</v>
      </c>
      <c r="G35" s="43">
        <v>0.2205</v>
      </c>
      <c r="I35" s="1" t="s">
        <v>3</v>
      </c>
      <c r="J35" s="42" t="s">
        <v>53</v>
      </c>
      <c r="K35" s="43">
        <v>0.18690000000000001</v>
      </c>
      <c r="M35" s="1" t="s">
        <v>3</v>
      </c>
      <c r="N35" s="42" t="s">
        <v>53</v>
      </c>
      <c r="O35" s="3">
        <v>0.20300000000000001</v>
      </c>
      <c r="Q35" s="1" t="s">
        <v>3</v>
      </c>
      <c r="R35" s="42" t="s">
        <v>53</v>
      </c>
      <c r="S35" s="3">
        <v>0.20300000000000001</v>
      </c>
      <c r="T35" s="16"/>
    </row>
    <row r="36" spans="1:20" x14ac:dyDescent="0.2">
      <c r="A36" s="1" t="s">
        <v>3</v>
      </c>
      <c r="B36" s="1" t="s">
        <v>54</v>
      </c>
      <c r="C36" s="96">
        <v>0.74399999999999999</v>
      </c>
      <c r="E36" s="41" t="s">
        <v>3</v>
      </c>
      <c r="F36" s="42" t="s">
        <v>54</v>
      </c>
      <c r="G36" s="43">
        <v>0.82799999999999996</v>
      </c>
      <c r="I36" s="1" t="s">
        <v>3</v>
      </c>
      <c r="J36" s="42" t="s">
        <v>54</v>
      </c>
      <c r="K36" s="43">
        <v>1.1995199999999999</v>
      </c>
      <c r="M36" s="1" t="s">
        <v>3</v>
      </c>
      <c r="N36" s="42" t="s">
        <v>54</v>
      </c>
      <c r="O36" s="3">
        <v>1.1552</v>
      </c>
      <c r="Q36" s="1" t="s">
        <v>3</v>
      </c>
      <c r="R36" s="42" t="s">
        <v>54</v>
      </c>
      <c r="S36" s="3">
        <v>1.1499000000000001</v>
      </c>
      <c r="T36" s="16"/>
    </row>
    <row r="37" spans="1:20" x14ac:dyDescent="0.2">
      <c r="A37" s="1" t="s">
        <v>3</v>
      </c>
      <c r="B37" s="1" t="s">
        <v>55</v>
      </c>
      <c r="C37" s="96">
        <v>0.23100000000000001</v>
      </c>
      <c r="E37" s="41" t="s">
        <v>3</v>
      </c>
      <c r="F37" s="42" t="s">
        <v>55</v>
      </c>
      <c r="G37" s="43">
        <v>0.249</v>
      </c>
      <c r="I37" s="1" t="s">
        <v>3</v>
      </c>
      <c r="J37" s="42" t="s">
        <v>55</v>
      </c>
      <c r="K37" s="43">
        <v>0.23813000000000001</v>
      </c>
      <c r="M37" s="1" t="s">
        <v>3</v>
      </c>
      <c r="N37" s="42" t="s">
        <v>56</v>
      </c>
      <c r="O37" s="3">
        <v>6.3700000000000007E-2</v>
      </c>
      <c r="Q37" s="1" t="s">
        <v>3</v>
      </c>
      <c r="R37" s="42" t="s">
        <v>56</v>
      </c>
      <c r="S37" s="3">
        <v>5.2700000000000004E-2</v>
      </c>
      <c r="T37" s="16"/>
    </row>
    <row r="38" spans="1:20" x14ac:dyDescent="0.2">
      <c r="A38" s="1" t="s">
        <v>3</v>
      </c>
      <c r="B38" s="1" t="s">
        <v>56</v>
      </c>
      <c r="C38" s="96">
        <v>0.23699999999999999</v>
      </c>
      <c r="E38" s="41" t="s">
        <v>3</v>
      </c>
      <c r="F38" s="42" t="s">
        <v>56</v>
      </c>
      <c r="G38" s="43">
        <v>0.20699999999999999</v>
      </c>
      <c r="I38" s="1" t="s">
        <v>3</v>
      </c>
      <c r="J38" s="42" t="s">
        <v>56</v>
      </c>
      <c r="K38" s="43">
        <v>0.18090000000000001</v>
      </c>
      <c r="M38" s="1" t="s">
        <v>3</v>
      </c>
      <c r="N38" s="42" t="s">
        <v>57</v>
      </c>
      <c r="O38" s="3">
        <v>6.9319999999999993E-2</v>
      </c>
      <c r="Q38" s="1" t="s">
        <v>3</v>
      </c>
      <c r="R38" s="42" t="s">
        <v>57</v>
      </c>
      <c r="S38" s="3">
        <v>8.3808400000000005E-2</v>
      </c>
      <c r="T38" s="16"/>
    </row>
    <row r="39" spans="1:20" x14ac:dyDescent="0.2">
      <c r="A39" s="1" t="s">
        <v>3</v>
      </c>
      <c r="B39" s="1" t="s">
        <v>57</v>
      </c>
      <c r="C39" s="96">
        <v>9.1999999999999998E-2</v>
      </c>
      <c r="E39" s="41" t="s">
        <v>3</v>
      </c>
      <c r="F39" s="42" t="s">
        <v>57</v>
      </c>
      <c r="G39" s="43">
        <v>6.3E-2</v>
      </c>
      <c r="I39" s="1" t="s">
        <v>3</v>
      </c>
      <c r="J39" s="42" t="s">
        <v>57</v>
      </c>
      <c r="K39" s="43">
        <v>6.2460000000000002E-2</v>
      </c>
      <c r="M39" s="1" t="s">
        <v>3</v>
      </c>
      <c r="N39" s="42" t="s">
        <v>58</v>
      </c>
      <c r="O39" s="3">
        <v>0.218</v>
      </c>
      <c r="Q39" s="1" t="s">
        <v>3</v>
      </c>
      <c r="R39" s="42" t="s">
        <v>58</v>
      </c>
      <c r="S39" s="3">
        <v>0.18659999999999999</v>
      </c>
      <c r="T39" s="16"/>
    </row>
    <row r="40" spans="1:20" x14ac:dyDescent="0.2">
      <c r="A40" s="1" t="s">
        <v>3</v>
      </c>
      <c r="B40" s="1" t="s">
        <v>58</v>
      </c>
      <c r="C40" s="96">
        <v>0.20799999999999999</v>
      </c>
      <c r="E40" s="41" t="s">
        <v>3</v>
      </c>
      <c r="F40" s="42" t="s">
        <v>58</v>
      </c>
      <c r="G40" s="43">
        <v>0.23599999999999999</v>
      </c>
      <c r="I40" s="1" t="s">
        <v>3</v>
      </c>
      <c r="J40" s="42" t="s">
        <v>58</v>
      </c>
      <c r="K40" s="43">
        <v>0.21018999999999999</v>
      </c>
      <c r="M40" s="1" t="s">
        <v>3</v>
      </c>
      <c r="N40" s="42" t="s">
        <v>60</v>
      </c>
      <c r="O40" s="3">
        <v>0.21189</v>
      </c>
      <c r="Q40" s="1" t="s">
        <v>3</v>
      </c>
      <c r="R40" s="42" t="s">
        <v>59</v>
      </c>
      <c r="S40" s="3">
        <v>2.5929999999999998E-2</v>
      </c>
      <c r="T40" s="16"/>
    </row>
    <row r="41" spans="1:20" x14ac:dyDescent="0.2">
      <c r="A41" s="1" t="s">
        <v>3</v>
      </c>
      <c r="B41" s="1" t="s">
        <v>59</v>
      </c>
      <c r="C41" s="96">
        <v>2.1999999999999999E-2</v>
      </c>
      <c r="E41" s="41" t="s">
        <v>3</v>
      </c>
      <c r="F41" s="41" t="s">
        <v>59</v>
      </c>
      <c r="G41" s="43">
        <v>2.1999999999999999E-2</v>
      </c>
      <c r="I41" s="1" t="s">
        <v>3</v>
      </c>
      <c r="J41" s="42" t="s">
        <v>59</v>
      </c>
      <c r="K41" s="43">
        <v>2.0073820395738198E-2</v>
      </c>
      <c r="M41" s="1" t="s">
        <v>3</v>
      </c>
      <c r="N41" s="104" t="s">
        <v>61</v>
      </c>
      <c r="O41" s="3">
        <v>1.3080000000000001</v>
      </c>
      <c r="Q41" s="1" t="s">
        <v>3</v>
      </c>
      <c r="R41" s="42" t="s">
        <v>60</v>
      </c>
      <c r="S41" s="3">
        <v>0.21086000000000002</v>
      </c>
      <c r="T41" s="16"/>
    </row>
    <row r="42" spans="1:20" ht="15.75" customHeight="1" x14ac:dyDescent="0.2">
      <c r="A42" s="1" t="s">
        <v>3</v>
      </c>
      <c r="B42" s="1" t="s">
        <v>60</v>
      </c>
      <c r="C42" s="96">
        <v>0.2</v>
      </c>
      <c r="E42" s="41" t="s">
        <v>3</v>
      </c>
      <c r="F42" s="41" t="s">
        <v>60</v>
      </c>
      <c r="G42" s="43">
        <v>0.20100000000000001</v>
      </c>
      <c r="I42" s="1" t="s">
        <v>3</v>
      </c>
      <c r="J42" s="1" t="s">
        <v>60</v>
      </c>
      <c r="K42" s="43">
        <v>0.210350625079438</v>
      </c>
      <c r="M42" s="1" t="s">
        <v>3</v>
      </c>
      <c r="N42" s="42" t="s">
        <v>62</v>
      </c>
      <c r="O42" s="3">
        <v>2.2579999999999999E-2</v>
      </c>
      <c r="Q42" s="1" t="s">
        <v>3</v>
      </c>
      <c r="R42" s="104" t="s">
        <v>61</v>
      </c>
      <c r="S42" s="3">
        <v>1.2320000000000001E-2</v>
      </c>
      <c r="T42" s="118"/>
    </row>
    <row r="43" spans="1:20" x14ac:dyDescent="0.2">
      <c r="A43" s="1" t="s">
        <v>3</v>
      </c>
      <c r="B43" s="1" t="s">
        <v>61</v>
      </c>
      <c r="C43" s="96">
        <v>1.6640000000000001</v>
      </c>
      <c r="D43" s="29"/>
      <c r="E43" s="41" t="s">
        <v>3</v>
      </c>
      <c r="F43" s="41" t="s">
        <v>61</v>
      </c>
      <c r="G43" s="43">
        <v>1.52</v>
      </c>
      <c r="H43" s="27"/>
      <c r="I43" s="1" t="s">
        <v>3</v>
      </c>
      <c r="J43" s="1" t="s">
        <v>61</v>
      </c>
      <c r="K43" s="43">
        <v>1.3320000000000001</v>
      </c>
      <c r="M43" s="1" t="s">
        <v>5</v>
      </c>
      <c r="N43" s="42" t="s">
        <v>63</v>
      </c>
      <c r="O43" s="3">
        <v>7.4999999999999997E-2</v>
      </c>
      <c r="Q43" s="1" t="s">
        <v>3</v>
      </c>
      <c r="R43" s="42" t="s">
        <v>62</v>
      </c>
      <c r="S43" s="3">
        <v>2.1170000000000001E-2</v>
      </c>
      <c r="T43" s="16"/>
    </row>
    <row r="44" spans="1:20" x14ac:dyDescent="0.2">
      <c r="A44" s="1" t="s">
        <v>3</v>
      </c>
      <c r="B44" s="1" t="s">
        <v>62</v>
      </c>
      <c r="C44" s="96">
        <v>0.02</v>
      </c>
      <c r="D44" s="30"/>
      <c r="E44" s="41" t="s">
        <v>3</v>
      </c>
      <c r="F44" s="41" t="s">
        <v>62</v>
      </c>
      <c r="G44" s="43">
        <v>2.3E-2</v>
      </c>
      <c r="H44" s="27"/>
      <c r="I44" s="1" t="s">
        <v>3</v>
      </c>
      <c r="J44" s="1" t="s">
        <v>62</v>
      </c>
      <c r="K44" s="43">
        <v>1.9449999999999999E-2</v>
      </c>
      <c r="M44" s="1" t="s">
        <v>5</v>
      </c>
      <c r="N44" s="42" t="s">
        <v>67</v>
      </c>
      <c r="O44" s="3">
        <v>0.27300000000000002</v>
      </c>
      <c r="Q44" s="1" t="s">
        <v>5</v>
      </c>
      <c r="R44" s="42" t="s">
        <v>63</v>
      </c>
      <c r="S44" s="3">
        <v>7.0999999999999994E-2</v>
      </c>
      <c r="T44" s="16"/>
    </row>
    <row r="45" spans="1:20" x14ac:dyDescent="0.2">
      <c r="A45" s="1" t="s">
        <v>5</v>
      </c>
      <c r="B45" s="1" t="s">
        <v>63</v>
      </c>
      <c r="C45" s="96">
        <v>0.218</v>
      </c>
      <c r="E45" s="41" t="s">
        <v>5</v>
      </c>
      <c r="F45" s="41" t="s">
        <v>63</v>
      </c>
      <c r="G45" s="43">
        <v>0.16500000000000001</v>
      </c>
      <c r="I45" s="1" t="s">
        <v>5</v>
      </c>
      <c r="J45" s="1" t="s">
        <v>63</v>
      </c>
      <c r="K45" s="43">
        <v>0.12256</v>
      </c>
      <c r="M45" s="1" t="s">
        <v>8</v>
      </c>
      <c r="N45" s="42" t="s">
        <v>68</v>
      </c>
      <c r="O45" s="3">
        <v>0.26600000000000001</v>
      </c>
      <c r="Q45" s="1" t="s">
        <v>5</v>
      </c>
      <c r="R45" s="42" t="s">
        <v>67</v>
      </c>
      <c r="S45" s="3">
        <v>0.2893</v>
      </c>
      <c r="T45" s="16"/>
    </row>
    <row r="46" spans="1:20" x14ac:dyDescent="0.2">
      <c r="A46" s="1" t="s">
        <v>5</v>
      </c>
      <c r="B46" s="1" t="s">
        <v>64</v>
      </c>
      <c r="C46" s="96">
        <v>0.04</v>
      </c>
      <c r="E46" s="41" t="s">
        <v>5</v>
      </c>
      <c r="F46" s="41" t="s">
        <v>64</v>
      </c>
      <c r="G46" s="43">
        <v>0.04</v>
      </c>
      <c r="I46" s="1" t="s">
        <v>5</v>
      </c>
      <c r="J46" s="42" t="s">
        <v>67</v>
      </c>
      <c r="K46" s="43">
        <v>0.17269999999999999</v>
      </c>
      <c r="M46" s="1" t="s">
        <v>8</v>
      </c>
      <c r="N46" s="42" t="s">
        <v>69</v>
      </c>
      <c r="O46" s="3">
        <v>8.3017199898623897E-2</v>
      </c>
      <c r="Q46" s="1" t="s">
        <v>8</v>
      </c>
      <c r="R46" s="42" t="s">
        <v>68</v>
      </c>
      <c r="S46" s="3">
        <v>0.29499999999999998</v>
      </c>
      <c r="T46" s="16"/>
    </row>
    <row r="47" spans="1:20" ht="24" x14ac:dyDescent="0.2">
      <c r="A47" s="1" t="s">
        <v>5</v>
      </c>
      <c r="B47" s="1" t="s">
        <v>66</v>
      </c>
      <c r="C47" s="96">
        <v>3.0000000000000001E-3</v>
      </c>
      <c r="E47" s="41" t="s">
        <v>5</v>
      </c>
      <c r="F47" s="41" t="s">
        <v>66</v>
      </c>
      <c r="G47" s="43">
        <v>3.0000000000000001E-3</v>
      </c>
      <c r="I47" s="1" t="s">
        <v>8</v>
      </c>
      <c r="J47" s="42" t="s">
        <v>68</v>
      </c>
      <c r="K47" s="96">
        <v>0.30099999999999999</v>
      </c>
      <c r="M47" s="1" t="s">
        <v>10</v>
      </c>
      <c r="N47" s="42" t="s">
        <v>70</v>
      </c>
      <c r="O47" s="3">
        <v>0.19889999999999999</v>
      </c>
      <c r="Q47" s="1" t="s">
        <v>8</v>
      </c>
      <c r="R47" s="42" t="s">
        <v>69</v>
      </c>
      <c r="S47" s="3">
        <v>7.3930545867106998E-2</v>
      </c>
      <c r="T47" s="16"/>
    </row>
    <row r="48" spans="1:20" x14ac:dyDescent="0.2">
      <c r="A48" s="1" t="s">
        <v>5</v>
      </c>
      <c r="B48" s="1" t="s">
        <v>67</v>
      </c>
      <c r="C48" s="96">
        <v>0.26800000000000002</v>
      </c>
      <c r="E48" s="41" t="s">
        <v>5</v>
      </c>
      <c r="F48" s="42" t="s">
        <v>67</v>
      </c>
      <c r="G48" s="43">
        <v>0.13800000000000001</v>
      </c>
      <c r="I48" s="1" t="s">
        <v>8</v>
      </c>
      <c r="J48" s="42" t="s">
        <v>69</v>
      </c>
      <c r="K48" s="96">
        <v>7.9930000000000001E-2</v>
      </c>
      <c r="M48" s="1" t="s">
        <v>10</v>
      </c>
      <c r="N48" s="1" t="s">
        <v>71</v>
      </c>
      <c r="O48" s="3">
        <v>2.8309999999999998E-2</v>
      </c>
      <c r="P48" s="118"/>
      <c r="Q48" s="1" t="s">
        <v>10</v>
      </c>
      <c r="R48" s="42" t="s">
        <v>70</v>
      </c>
      <c r="S48" s="3">
        <v>0.20449999999999999</v>
      </c>
      <c r="T48" s="16"/>
    </row>
    <row r="49" spans="1:20" x14ac:dyDescent="0.2">
      <c r="A49" s="1" t="s">
        <v>8</v>
      </c>
      <c r="B49" s="1" t="s">
        <v>68</v>
      </c>
      <c r="C49" s="96">
        <v>0.311</v>
      </c>
      <c r="E49" s="44" t="s">
        <v>89</v>
      </c>
      <c r="F49" s="44" t="s">
        <v>92</v>
      </c>
      <c r="G49" s="45">
        <v>1.4999999999999999E-2</v>
      </c>
      <c r="I49" s="1" t="s">
        <v>10</v>
      </c>
      <c r="J49" s="42" t="s">
        <v>70</v>
      </c>
      <c r="K49" s="96">
        <v>0.20608000000000001</v>
      </c>
      <c r="M49" s="1" t="s">
        <v>10</v>
      </c>
      <c r="N49" s="1" t="s">
        <v>72</v>
      </c>
      <c r="O49" s="3">
        <v>0.10796739708500304</v>
      </c>
      <c r="P49" s="117"/>
      <c r="Q49" s="1" t="s">
        <v>10</v>
      </c>
      <c r="R49" s="42" t="s">
        <v>71</v>
      </c>
      <c r="S49" s="3">
        <v>2.5999999999999999E-2</v>
      </c>
      <c r="T49" s="16"/>
    </row>
    <row r="50" spans="1:20" x14ac:dyDescent="0.2">
      <c r="A50" s="1" t="s">
        <v>8</v>
      </c>
      <c r="B50" s="1" t="s">
        <v>69</v>
      </c>
      <c r="C50" s="96">
        <v>1.7000000000000001E-2</v>
      </c>
      <c r="E50" s="41" t="s">
        <v>5</v>
      </c>
      <c r="F50" s="42" t="s">
        <v>93</v>
      </c>
      <c r="G50" s="46">
        <v>6.3E-2</v>
      </c>
      <c r="I50" s="1" t="s">
        <v>10</v>
      </c>
      <c r="J50" s="1" t="s">
        <v>71</v>
      </c>
      <c r="K50" s="96">
        <v>3.0929999999999999E-2</v>
      </c>
      <c r="M50" s="1" t="s">
        <v>10</v>
      </c>
      <c r="N50" s="1" t="s">
        <v>73</v>
      </c>
      <c r="O50" s="3">
        <v>3.6910197869101977E-2</v>
      </c>
      <c r="P50" s="117"/>
      <c r="Q50" s="1" t="s">
        <v>10</v>
      </c>
      <c r="R50" s="1" t="s">
        <v>72</v>
      </c>
      <c r="S50" s="3">
        <v>9.9475469722411961E-2</v>
      </c>
      <c r="T50" s="16"/>
    </row>
    <row r="51" spans="1:20" x14ac:dyDescent="0.2">
      <c r="A51" s="1" t="s">
        <v>10</v>
      </c>
      <c r="B51" s="1" t="s">
        <v>70</v>
      </c>
      <c r="C51" s="96">
        <v>9.4E-2</v>
      </c>
      <c r="E51" s="47" t="s">
        <v>89</v>
      </c>
      <c r="F51" s="47" t="s">
        <v>94</v>
      </c>
      <c r="G51" s="45">
        <v>6.2700000000000006E-2</v>
      </c>
      <c r="I51" s="1" t="s">
        <v>10</v>
      </c>
      <c r="J51" s="1" t="s">
        <v>72</v>
      </c>
      <c r="K51" s="96">
        <v>7.1117804106814439E-2</v>
      </c>
      <c r="M51" s="1" t="s">
        <v>12</v>
      </c>
      <c r="N51" s="1" t="s">
        <v>74</v>
      </c>
      <c r="O51" s="3">
        <v>2.3913162548852895E-2</v>
      </c>
      <c r="P51" s="117"/>
      <c r="Q51" s="1" t="s">
        <v>10</v>
      </c>
      <c r="R51" s="1" t="s">
        <v>73</v>
      </c>
      <c r="S51" s="3">
        <v>3.6145991882293248E-2</v>
      </c>
      <c r="T51" s="16"/>
    </row>
    <row r="52" spans="1:20" x14ac:dyDescent="0.2">
      <c r="A52" s="1" t="s">
        <v>10</v>
      </c>
      <c r="B52" s="1" t="s">
        <v>71</v>
      </c>
      <c r="C52" s="96">
        <v>3.1E-2</v>
      </c>
      <c r="E52" s="41" t="s">
        <v>8</v>
      </c>
      <c r="F52" s="42" t="s">
        <v>68</v>
      </c>
      <c r="G52" s="43">
        <v>0.33900000000000002</v>
      </c>
      <c r="I52" s="1" t="s">
        <v>10</v>
      </c>
      <c r="J52" s="1" t="s">
        <v>73</v>
      </c>
      <c r="K52" s="96">
        <v>3.5268637747336372E-2</v>
      </c>
      <c r="Q52" s="1" t="s">
        <v>12</v>
      </c>
      <c r="R52" s="1" t="s">
        <v>74</v>
      </c>
      <c r="S52" s="3">
        <v>1.862903177303912E-2</v>
      </c>
      <c r="T52" s="16"/>
    </row>
    <row r="53" spans="1:20" ht="24" x14ac:dyDescent="0.2">
      <c r="A53" s="1" t="s">
        <v>10</v>
      </c>
      <c r="B53" s="1" t="s">
        <v>72</v>
      </c>
      <c r="C53" s="96">
        <v>9.6108260642080459E-2</v>
      </c>
      <c r="E53" s="41" t="s">
        <v>8</v>
      </c>
      <c r="F53" s="42" t="s">
        <v>69</v>
      </c>
      <c r="G53" s="43">
        <v>3.6999999999999998E-2</v>
      </c>
      <c r="I53" s="1" t="s">
        <v>12</v>
      </c>
      <c r="J53" s="1" t="s">
        <v>74</v>
      </c>
      <c r="K53" s="96">
        <v>2.260997013148168E-2</v>
      </c>
      <c r="N53" s="49" t="s">
        <v>17</v>
      </c>
      <c r="O53" s="50">
        <f>SUM(O32:O51)</f>
        <v>5.4185579574015819</v>
      </c>
      <c r="Q53" s="1" t="s">
        <v>45</v>
      </c>
      <c r="R53" s="1" t="s">
        <v>75</v>
      </c>
      <c r="S53" s="3">
        <v>6.2199999999999998E-3</v>
      </c>
      <c r="T53" s="16"/>
    </row>
    <row r="54" spans="1:20" ht="24" x14ac:dyDescent="0.2">
      <c r="A54" s="1" t="s">
        <v>10</v>
      </c>
      <c r="B54" s="1" t="s">
        <v>73</v>
      </c>
      <c r="C54" s="96">
        <v>3.8722631868548955E-2</v>
      </c>
      <c r="E54" s="41" t="s">
        <v>10</v>
      </c>
      <c r="F54" s="41" t="s">
        <v>70</v>
      </c>
      <c r="G54" s="43">
        <v>0.10100000000000001</v>
      </c>
      <c r="I54" s="1" t="s">
        <v>45</v>
      </c>
      <c r="J54" s="1" t="s">
        <v>75</v>
      </c>
      <c r="K54" s="96">
        <v>1.0500000000000001E-2</v>
      </c>
    </row>
    <row r="55" spans="1:20" x14ac:dyDescent="0.2">
      <c r="A55" s="1" t="s">
        <v>12</v>
      </c>
      <c r="B55" s="1" t="s">
        <v>74</v>
      </c>
      <c r="C55" s="96">
        <v>2.8283464367344552E-2</v>
      </c>
      <c r="E55" s="41" t="s">
        <v>10</v>
      </c>
      <c r="F55" s="41" t="s">
        <v>71</v>
      </c>
      <c r="G55" s="43">
        <v>0.03</v>
      </c>
      <c r="O55" s="151"/>
      <c r="R55" s="49" t="s">
        <v>17</v>
      </c>
      <c r="S55" s="50">
        <f>SUM(S32:S53)</f>
        <v>4.1900894392448507</v>
      </c>
    </row>
    <row r="56" spans="1:20" x14ac:dyDescent="0.2">
      <c r="A56" s="1" t="s">
        <v>45</v>
      </c>
      <c r="B56" s="1" t="s">
        <v>75</v>
      </c>
      <c r="C56" s="96">
        <v>1.7000000000000001E-2</v>
      </c>
      <c r="E56" s="41" t="s">
        <v>10</v>
      </c>
      <c r="F56" s="41" t="s">
        <v>72</v>
      </c>
      <c r="G56" s="43">
        <v>0.10397710899844623</v>
      </c>
      <c r="J56" s="49" t="s">
        <v>17</v>
      </c>
      <c r="K56" s="50">
        <f>SUM(K32:K54)</f>
        <v>5.7079208574608078</v>
      </c>
    </row>
    <row r="57" spans="1:20" x14ac:dyDescent="0.2">
      <c r="E57" s="41" t="s">
        <v>10</v>
      </c>
      <c r="F57" s="41" t="s">
        <v>73</v>
      </c>
      <c r="G57" s="43">
        <v>3.6476747463216642E-2</v>
      </c>
      <c r="S57" s="151"/>
    </row>
    <row r="58" spans="1:20" x14ac:dyDescent="0.2">
      <c r="B58" s="19" t="s">
        <v>17</v>
      </c>
      <c r="C58" s="5">
        <f>SUM(C32:C56)</f>
        <v>5.7931143568779744</v>
      </c>
      <c r="E58" s="41" t="s">
        <v>12</v>
      </c>
      <c r="F58" s="41" t="s">
        <v>74</v>
      </c>
      <c r="G58" s="43">
        <v>2.2568687952044159E-2</v>
      </c>
      <c r="K58" s="151"/>
    </row>
    <row r="59" spans="1:20" ht="24" x14ac:dyDescent="0.2">
      <c r="E59" s="41" t="s">
        <v>45</v>
      </c>
      <c r="F59" s="41" t="s">
        <v>75</v>
      </c>
      <c r="G59" s="43">
        <v>6.0000000000000001E-3</v>
      </c>
    </row>
    <row r="60" spans="1:20" x14ac:dyDescent="0.2">
      <c r="C60" s="151"/>
      <c r="E60" s="48"/>
      <c r="F60" s="48"/>
      <c r="G60" s="48"/>
    </row>
    <row r="61" spans="1:20" x14ac:dyDescent="0.2">
      <c r="E61" s="48"/>
      <c r="F61" s="49" t="s">
        <v>17</v>
      </c>
      <c r="G61" s="50">
        <f>SUM(G32:G59)</f>
        <v>5.7412225444137084</v>
      </c>
    </row>
    <row r="63" spans="1:20" x14ac:dyDescent="0.2">
      <c r="G63" s="151"/>
    </row>
  </sheetData>
  <mergeCells count="19">
    <mergeCell ref="J30:J31"/>
    <mergeCell ref="A2:A3"/>
    <mergeCell ref="B2:B3"/>
    <mergeCell ref="Q29:S29"/>
    <mergeCell ref="Q30:Q31"/>
    <mergeCell ref="R30:R31"/>
    <mergeCell ref="A1:K1"/>
    <mergeCell ref="C2:K2"/>
    <mergeCell ref="M29:O29"/>
    <mergeCell ref="M30:M31"/>
    <mergeCell ref="N30:N31"/>
    <mergeCell ref="I29:K29"/>
    <mergeCell ref="E29:G29"/>
    <mergeCell ref="E30:E31"/>
    <mergeCell ref="F30:F31"/>
    <mergeCell ref="A29:C29"/>
    <mergeCell ref="A30:A31"/>
    <mergeCell ref="B30:B31"/>
    <mergeCell ref="I30:I31"/>
  </mergeCells>
  <pageMargins left="0.7" right="0.7" top="0.75" bottom="0.75" header="0.3" footer="0.3"/>
  <pageSetup orientation="portrait" r:id="rId1"/>
  <ignoredErrors>
    <ignoredError sqref="C58 O53 S5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9"/>
  <sheetViews>
    <sheetView topLeftCell="C1" zoomScale="116" zoomScaleNormal="25" workbookViewId="0">
      <selection activeCell="K4" sqref="K4:K6"/>
    </sheetView>
  </sheetViews>
  <sheetFormatPr baseColWidth="10" defaultColWidth="11.5" defaultRowHeight="15" x14ac:dyDescent="0.2"/>
  <cols>
    <col min="1" max="1" width="30.83203125" customWidth="1"/>
    <col min="2" max="2" width="20.83203125" customWidth="1"/>
    <col min="3" max="3" width="11.83203125" customWidth="1"/>
    <col min="4" max="4" width="14.5" customWidth="1"/>
    <col min="5" max="5" width="17.1640625" customWidth="1"/>
    <col min="6" max="6" width="17.5" customWidth="1"/>
    <col min="7" max="7" width="14.33203125" customWidth="1"/>
    <col min="9" max="9" width="16.5" customWidth="1"/>
    <col min="10" max="10" width="17.5" customWidth="1"/>
    <col min="11" max="11" width="15.83203125" customWidth="1"/>
    <col min="13" max="13" width="17.1640625" customWidth="1"/>
    <col min="14" max="14" width="15.5" customWidth="1"/>
    <col min="15" max="15" width="19.83203125" customWidth="1"/>
    <col min="17" max="17" width="16.83203125" customWidth="1"/>
    <col min="18" max="18" width="17.6640625" customWidth="1"/>
    <col min="19" max="19" width="17.1640625" customWidth="1"/>
  </cols>
  <sheetData>
    <row r="1" spans="1:14" ht="30" customHeight="1" x14ac:dyDescent="0.2">
      <c r="A1" s="162" t="s">
        <v>100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4" x14ac:dyDescent="0.2">
      <c r="A2" s="166" t="s">
        <v>1</v>
      </c>
      <c r="B2" s="166" t="s">
        <v>2</v>
      </c>
      <c r="C2" s="162" t="s">
        <v>44</v>
      </c>
      <c r="D2" s="162"/>
      <c r="E2" s="162"/>
      <c r="F2" s="162"/>
      <c r="G2" s="162"/>
      <c r="H2" s="162"/>
      <c r="I2" s="162"/>
      <c r="J2" s="162"/>
      <c r="K2" s="162"/>
      <c r="N2" s="61"/>
    </row>
    <row r="3" spans="1:14" ht="14.5" customHeight="1" x14ac:dyDescent="0.2">
      <c r="A3" s="166"/>
      <c r="B3" s="166"/>
      <c r="C3" s="120">
        <v>2012</v>
      </c>
      <c r="D3" s="120">
        <v>2013</v>
      </c>
      <c r="E3" s="120">
        <v>2014</v>
      </c>
      <c r="F3" s="120">
        <v>2015</v>
      </c>
      <c r="G3" s="120">
        <v>2016</v>
      </c>
      <c r="H3" s="120">
        <v>2017</v>
      </c>
      <c r="I3" s="120">
        <v>2018</v>
      </c>
      <c r="J3" s="120">
        <v>2019</v>
      </c>
      <c r="K3" s="120">
        <v>2020</v>
      </c>
      <c r="M3" s="113"/>
    </row>
    <row r="4" spans="1:14" ht="15" customHeight="1" x14ac:dyDescent="0.2">
      <c r="A4" s="10" t="s">
        <v>19</v>
      </c>
      <c r="B4" s="10" t="s">
        <v>20</v>
      </c>
      <c r="C4" s="12" t="s">
        <v>47</v>
      </c>
      <c r="D4" s="12" t="s">
        <v>47</v>
      </c>
      <c r="E4" s="12" t="s">
        <v>47</v>
      </c>
      <c r="F4" s="12" t="s">
        <v>47</v>
      </c>
      <c r="G4" s="12">
        <v>1.7999999999999999E-2</v>
      </c>
      <c r="H4" s="46">
        <v>6.0000000000000001E-3</v>
      </c>
      <c r="I4" s="46">
        <v>1E-3</v>
      </c>
      <c r="J4" s="46">
        <v>2.7799999999999999E-3</v>
      </c>
      <c r="K4" s="46">
        <v>1.15E-2</v>
      </c>
      <c r="L4" s="16"/>
      <c r="M4" s="113"/>
      <c r="N4" s="105"/>
    </row>
    <row r="5" spans="1:14" ht="15" customHeight="1" x14ac:dyDescent="0.2">
      <c r="A5" s="10" t="s">
        <v>19</v>
      </c>
      <c r="B5" s="10" t="s">
        <v>22</v>
      </c>
      <c r="C5" s="12">
        <v>0.2</v>
      </c>
      <c r="D5" s="12">
        <v>0.2</v>
      </c>
      <c r="E5" s="12">
        <v>1.7000000000000001E-2</v>
      </c>
      <c r="F5" s="12">
        <v>3.0000000000000002E-2</v>
      </c>
      <c r="G5" s="46">
        <v>0.02</v>
      </c>
      <c r="H5" s="46">
        <v>1.5650000000000001E-2</v>
      </c>
      <c r="I5" s="46">
        <v>1.737E-2</v>
      </c>
      <c r="J5" s="46">
        <v>1.8270000000000002E-2</v>
      </c>
      <c r="K5" s="46">
        <v>1.66E-2</v>
      </c>
      <c r="L5" s="16"/>
      <c r="M5" s="113"/>
      <c r="N5" s="105"/>
    </row>
    <row r="6" spans="1:14" ht="15" customHeight="1" x14ac:dyDescent="0.2">
      <c r="A6" s="10" t="s">
        <v>19</v>
      </c>
      <c r="B6" s="10" t="s">
        <v>33</v>
      </c>
      <c r="C6" s="12" t="s">
        <v>47</v>
      </c>
      <c r="D6" s="12" t="s">
        <v>47</v>
      </c>
      <c r="E6" s="12">
        <v>0.17299999999999999</v>
      </c>
      <c r="F6" s="12">
        <v>0.17100000000000001</v>
      </c>
      <c r="G6" s="46">
        <v>0.15</v>
      </c>
      <c r="H6" s="46">
        <v>0.14725833333333302</v>
      </c>
      <c r="I6" s="46">
        <v>0.14220000000000002</v>
      </c>
      <c r="J6" s="46">
        <v>0.16290000000000002</v>
      </c>
      <c r="K6" s="46">
        <v>0.14220000000000002</v>
      </c>
      <c r="L6" s="16"/>
      <c r="M6" s="113"/>
      <c r="N6" s="105"/>
    </row>
    <row r="7" spans="1:14" ht="15" customHeight="1" x14ac:dyDescent="0.2">
      <c r="A7" s="10" t="s">
        <v>19</v>
      </c>
      <c r="B7" s="10" t="s">
        <v>43</v>
      </c>
      <c r="C7" s="12">
        <v>0.1</v>
      </c>
      <c r="D7" s="12">
        <v>0.1</v>
      </c>
      <c r="E7" s="12">
        <v>2E-3</v>
      </c>
      <c r="F7" s="12" t="s">
        <v>47</v>
      </c>
      <c r="G7" s="12" t="s">
        <v>47</v>
      </c>
      <c r="H7" s="46">
        <v>0</v>
      </c>
      <c r="I7" s="46" t="s">
        <v>47</v>
      </c>
      <c r="J7" s="46" t="s">
        <v>47</v>
      </c>
      <c r="K7" s="46" t="s">
        <v>47</v>
      </c>
      <c r="L7" s="16"/>
      <c r="M7" s="113"/>
      <c r="N7" s="105"/>
    </row>
    <row r="8" spans="1:14" ht="15" customHeight="1" x14ac:dyDescent="0.2">
      <c r="A8" s="10" t="s">
        <v>3</v>
      </c>
      <c r="B8" s="10" t="s">
        <v>4</v>
      </c>
      <c r="C8" s="12">
        <v>1.0999999999999999E-2</v>
      </c>
      <c r="D8" s="12">
        <v>3.1E-2</v>
      </c>
      <c r="E8" s="12">
        <v>5.8999999999999997E-2</v>
      </c>
      <c r="F8" s="12">
        <v>6.9000000000000006E-2</v>
      </c>
      <c r="G8" s="12">
        <v>5.5E-2</v>
      </c>
      <c r="H8" s="12">
        <v>0.14199999999999999</v>
      </c>
      <c r="I8" s="12">
        <v>7.5920000000000001E-2</v>
      </c>
      <c r="J8" s="46">
        <v>6.2899999999999998E-2</v>
      </c>
      <c r="K8" s="46">
        <v>4.9400000000000006E-2</v>
      </c>
      <c r="L8" s="16"/>
      <c r="M8" s="113"/>
      <c r="N8" s="105"/>
    </row>
    <row r="9" spans="1:14" ht="15" customHeight="1" x14ac:dyDescent="0.2">
      <c r="A9" s="10" t="s">
        <v>3</v>
      </c>
      <c r="B9" s="10" t="s">
        <v>48</v>
      </c>
      <c r="C9" s="12">
        <v>0.01</v>
      </c>
      <c r="D9" s="12">
        <v>4.0000000000000001E-3</v>
      </c>
      <c r="E9" s="12">
        <v>4.0000000000000001E-3</v>
      </c>
      <c r="F9" s="12" t="s">
        <v>47</v>
      </c>
      <c r="G9" s="12" t="s">
        <v>47</v>
      </c>
      <c r="H9" s="12" t="s">
        <v>47</v>
      </c>
      <c r="I9" s="12" t="s">
        <v>47</v>
      </c>
      <c r="J9" s="12" t="s">
        <v>47</v>
      </c>
      <c r="K9" s="12" t="s">
        <v>47</v>
      </c>
      <c r="L9" s="16"/>
      <c r="M9" s="113"/>
      <c r="N9" s="105"/>
    </row>
    <row r="10" spans="1:14" ht="15" customHeight="1" x14ac:dyDescent="0.2">
      <c r="A10" s="10" t="s">
        <v>3</v>
      </c>
      <c r="B10" s="10" t="s">
        <v>24</v>
      </c>
      <c r="C10" s="12">
        <v>0.01</v>
      </c>
      <c r="D10" s="12">
        <v>0.01</v>
      </c>
      <c r="E10" s="12">
        <v>0.01</v>
      </c>
      <c r="F10" s="12">
        <v>8.0000000000000002E-3</v>
      </c>
      <c r="G10" s="12">
        <v>1.2E-2</v>
      </c>
      <c r="H10" s="12">
        <v>1.0999999999999999E-2</v>
      </c>
      <c r="I10" s="12" t="s">
        <v>47</v>
      </c>
      <c r="J10" s="12">
        <v>2E-3</v>
      </c>
      <c r="K10" s="12">
        <v>2E-3</v>
      </c>
      <c r="L10" s="16"/>
      <c r="M10" s="113"/>
      <c r="N10" s="105"/>
    </row>
    <row r="11" spans="1:14" ht="15" customHeight="1" x14ac:dyDescent="0.2">
      <c r="A11" s="10" t="s">
        <v>3</v>
      </c>
      <c r="B11" s="10" t="s">
        <v>34</v>
      </c>
      <c r="C11" s="12">
        <v>0.3</v>
      </c>
      <c r="D11" s="12">
        <v>0.2</v>
      </c>
      <c r="E11" s="12">
        <v>0.215</v>
      </c>
      <c r="F11" s="12">
        <v>0.315</v>
      </c>
      <c r="G11" s="12">
        <v>0.222</v>
      </c>
      <c r="H11" s="12">
        <v>0.111</v>
      </c>
      <c r="I11" s="12">
        <v>0.111</v>
      </c>
      <c r="J11" s="12">
        <v>8.1699999999999995E-2</v>
      </c>
      <c r="K11" s="12">
        <v>0.113</v>
      </c>
      <c r="L11" s="16"/>
      <c r="M11" s="113"/>
      <c r="N11" s="105"/>
    </row>
    <row r="12" spans="1:14" ht="15" customHeight="1" x14ac:dyDescent="0.2">
      <c r="A12" s="10" t="s">
        <v>3</v>
      </c>
      <c r="B12" s="10" t="s">
        <v>28</v>
      </c>
      <c r="C12" s="12">
        <v>0.02</v>
      </c>
      <c r="D12" s="12">
        <v>0.01</v>
      </c>
      <c r="E12" s="12" t="s">
        <v>47</v>
      </c>
      <c r="F12" s="12" t="s">
        <v>47</v>
      </c>
      <c r="G12" s="12" t="s">
        <v>47</v>
      </c>
      <c r="H12" s="12" t="s">
        <v>47</v>
      </c>
      <c r="I12" s="12" t="s">
        <v>47</v>
      </c>
      <c r="J12" s="12" t="s">
        <v>47</v>
      </c>
      <c r="K12" s="12" t="s">
        <v>47</v>
      </c>
      <c r="L12" s="16"/>
      <c r="M12" s="113"/>
      <c r="N12" s="105"/>
    </row>
    <row r="13" spans="1:14" ht="15" customHeight="1" x14ac:dyDescent="0.2">
      <c r="A13" s="10" t="s">
        <v>5</v>
      </c>
      <c r="B13" s="10" t="s">
        <v>35</v>
      </c>
      <c r="C13" s="12">
        <v>0.02</v>
      </c>
      <c r="D13" s="12">
        <v>0.03</v>
      </c>
      <c r="E13" s="12">
        <v>1.7000000000000001E-2</v>
      </c>
      <c r="F13" s="12" t="s">
        <v>47</v>
      </c>
      <c r="G13" s="12" t="s">
        <v>47</v>
      </c>
      <c r="H13" s="12" t="s">
        <v>47</v>
      </c>
      <c r="I13" s="12" t="s">
        <v>47</v>
      </c>
      <c r="J13" s="46" t="s">
        <v>47</v>
      </c>
      <c r="K13" s="46" t="s">
        <v>47</v>
      </c>
      <c r="L13" s="16"/>
      <c r="M13" s="113"/>
      <c r="N13" s="105"/>
    </row>
    <row r="14" spans="1:14" ht="15" customHeight="1" x14ac:dyDescent="0.2">
      <c r="A14" s="10" t="s">
        <v>5</v>
      </c>
      <c r="B14" s="10" t="s">
        <v>6</v>
      </c>
      <c r="C14" s="12">
        <v>6.0000000000000001E-3</v>
      </c>
      <c r="D14" s="12">
        <v>1E-3</v>
      </c>
      <c r="E14" s="12">
        <v>2.7999999999999997E-2</v>
      </c>
      <c r="F14" s="12">
        <v>1.409E-2</v>
      </c>
      <c r="G14" s="12">
        <v>2.1000000000000001E-2</v>
      </c>
      <c r="H14" s="46">
        <v>0.03</v>
      </c>
      <c r="I14" s="46">
        <v>3.1320000000000001E-2</v>
      </c>
      <c r="J14" s="46">
        <v>4.4000000000000003E-3</v>
      </c>
      <c r="K14" s="46">
        <v>3.1686303088298312E-2</v>
      </c>
      <c r="L14" s="16"/>
      <c r="M14" s="113"/>
      <c r="N14" s="105"/>
    </row>
    <row r="15" spans="1:14" ht="15" customHeight="1" x14ac:dyDescent="0.2">
      <c r="A15" s="10" t="s">
        <v>8</v>
      </c>
      <c r="B15" s="10" t="s">
        <v>31</v>
      </c>
      <c r="C15" s="12">
        <v>0.02</v>
      </c>
      <c r="D15" s="12">
        <v>0.06</v>
      </c>
      <c r="E15" s="12">
        <v>4.4999999999999998E-2</v>
      </c>
      <c r="F15" s="12">
        <v>4.4999999999999998E-2</v>
      </c>
      <c r="G15" s="12">
        <v>4.2000000000000003E-2</v>
      </c>
      <c r="H15" s="46">
        <v>5.8999999999999997E-2</v>
      </c>
      <c r="I15" s="46">
        <v>0.05</v>
      </c>
      <c r="J15" s="46">
        <v>4.5999999999999999E-2</v>
      </c>
      <c r="K15" s="46">
        <v>4.2999999999999997E-2</v>
      </c>
      <c r="L15" s="16"/>
      <c r="M15" s="113"/>
      <c r="N15" s="105"/>
    </row>
    <row r="16" spans="1:14" ht="15" customHeight="1" x14ac:dyDescent="0.2">
      <c r="A16" s="10" t="s">
        <v>8</v>
      </c>
      <c r="B16" s="10" t="s">
        <v>9</v>
      </c>
      <c r="C16" s="12">
        <v>0.1</v>
      </c>
      <c r="D16" s="12">
        <v>0.1</v>
      </c>
      <c r="E16" s="12">
        <v>0.114</v>
      </c>
      <c r="F16" s="12">
        <v>0.156</v>
      </c>
      <c r="G16" s="12">
        <v>0.17499999999999999</v>
      </c>
      <c r="H16" s="12">
        <v>0.19900000000000001</v>
      </c>
      <c r="I16" s="12">
        <v>0.1535</v>
      </c>
      <c r="J16" s="12">
        <v>0.11715287970526199</v>
      </c>
      <c r="K16" s="12">
        <v>0.14723108169063501</v>
      </c>
      <c r="L16" s="16"/>
      <c r="M16" s="113"/>
      <c r="N16" s="105"/>
    </row>
    <row r="17" spans="1:21" ht="15" customHeight="1" x14ac:dyDescent="0.2">
      <c r="A17" s="10" t="s">
        <v>10</v>
      </c>
      <c r="B17" s="10" t="s">
        <v>11</v>
      </c>
      <c r="C17" s="12">
        <v>0.2</v>
      </c>
      <c r="D17" s="12">
        <v>0.2</v>
      </c>
      <c r="E17" s="12">
        <v>0.23899999999999999</v>
      </c>
      <c r="F17" s="12">
        <v>0.223</v>
      </c>
      <c r="G17" s="12">
        <v>0.29514599095035532</v>
      </c>
      <c r="H17" s="12">
        <v>0.28493695899425331</v>
      </c>
      <c r="I17" s="12">
        <v>0.25547341701250159</v>
      </c>
      <c r="J17" s="12">
        <v>0.19749871799230939</v>
      </c>
      <c r="K17" s="12">
        <v>0.20977952813841605</v>
      </c>
      <c r="L17" s="16"/>
      <c r="M17" s="113"/>
      <c r="N17" s="105"/>
    </row>
    <row r="18" spans="1:21" ht="15" customHeight="1" x14ac:dyDescent="0.2">
      <c r="A18" s="10" t="s">
        <v>12</v>
      </c>
      <c r="B18" s="10" t="s">
        <v>36</v>
      </c>
      <c r="C18" s="12">
        <v>0.2</v>
      </c>
      <c r="D18" s="12">
        <v>0.2</v>
      </c>
      <c r="E18" s="12">
        <v>0.123</v>
      </c>
      <c r="F18" s="12">
        <v>0.114</v>
      </c>
      <c r="G18" s="12">
        <v>0.13020502133508755</v>
      </c>
      <c r="H18" s="12">
        <v>0.13482540977940716</v>
      </c>
      <c r="I18" s="12">
        <v>0.15265770642083648</v>
      </c>
      <c r="J18" s="12">
        <v>0.11463060591343027</v>
      </c>
      <c r="K18" s="12">
        <v>7.9580076519136761E-2</v>
      </c>
      <c r="L18" s="16"/>
      <c r="M18" s="113"/>
      <c r="N18" s="105"/>
    </row>
    <row r="19" spans="1:21" ht="15" customHeight="1" x14ac:dyDescent="0.2">
      <c r="A19" s="10" t="s">
        <v>12</v>
      </c>
      <c r="B19" s="10" t="s">
        <v>14</v>
      </c>
      <c r="C19" s="12">
        <v>0.01</v>
      </c>
      <c r="D19" s="12" t="s">
        <v>47</v>
      </c>
      <c r="E19" s="12" t="s">
        <v>47</v>
      </c>
      <c r="F19" s="12" t="s">
        <v>47</v>
      </c>
      <c r="G19" s="12" t="s">
        <v>47</v>
      </c>
      <c r="H19" s="12" t="s">
        <v>47</v>
      </c>
      <c r="I19" s="12" t="s">
        <v>47</v>
      </c>
      <c r="J19" s="12" t="s">
        <v>47</v>
      </c>
      <c r="K19" s="12" t="s">
        <v>47</v>
      </c>
      <c r="L19" s="16"/>
      <c r="N19" s="62"/>
    </row>
    <row r="20" spans="1:21" x14ac:dyDescent="0.2">
      <c r="A20" s="10" t="s">
        <v>15</v>
      </c>
      <c r="B20" s="10" t="s">
        <v>16</v>
      </c>
      <c r="C20" s="12">
        <v>0.2</v>
      </c>
      <c r="D20" s="12">
        <v>0.2</v>
      </c>
      <c r="E20" s="12">
        <v>0.153</v>
      </c>
      <c r="F20" s="12">
        <v>0.16300000000000001</v>
      </c>
      <c r="G20" s="12">
        <v>0.26800000000000002</v>
      </c>
      <c r="H20" s="46">
        <v>0.24399999999999999</v>
      </c>
      <c r="I20" s="46">
        <v>0.20075999999999999</v>
      </c>
      <c r="J20" s="46">
        <v>0.28443000000000002</v>
      </c>
      <c r="K20" s="46">
        <v>0.30880000000000002</v>
      </c>
      <c r="L20" s="16"/>
      <c r="N20" s="9"/>
    </row>
    <row r="21" spans="1:21" x14ac:dyDescent="0.2">
      <c r="N21" s="9"/>
    </row>
    <row r="22" spans="1:21" x14ac:dyDescent="0.2">
      <c r="B22" s="4" t="s">
        <v>17</v>
      </c>
      <c r="C22" s="2">
        <v>1.4</v>
      </c>
      <c r="D22" s="2">
        <v>1.3</v>
      </c>
      <c r="E22" s="3">
        <f t="shared" ref="E22:K22" si="0">SUM(E4:E20)</f>
        <v>1.1990000000000001</v>
      </c>
      <c r="F22" s="3">
        <f t="shared" si="0"/>
        <v>1.3080900000000002</v>
      </c>
      <c r="G22" s="3">
        <f t="shared" si="0"/>
        <v>1.408351012285443</v>
      </c>
      <c r="H22" s="88">
        <f t="shared" si="0"/>
        <v>1.3846707021069935</v>
      </c>
      <c r="I22" s="88">
        <f t="shared" si="0"/>
        <v>1.1912011234333382</v>
      </c>
      <c r="J22" s="88">
        <f t="shared" si="0"/>
        <v>1.0946622036110016</v>
      </c>
      <c r="K22" s="88">
        <f t="shared" si="0"/>
        <v>1.1547769894364861</v>
      </c>
      <c r="N22" s="9"/>
    </row>
    <row r="24" spans="1:21" ht="30" customHeight="1" x14ac:dyDescent="0.2">
      <c r="A24" s="169" t="s">
        <v>99</v>
      </c>
      <c r="B24" s="169"/>
      <c r="C24" s="169"/>
      <c r="E24" s="169" t="s">
        <v>99</v>
      </c>
      <c r="F24" s="169"/>
      <c r="G24" s="169"/>
      <c r="I24" s="169" t="s">
        <v>99</v>
      </c>
      <c r="J24" s="169"/>
      <c r="K24" s="169"/>
      <c r="M24" s="169" t="s">
        <v>99</v>
      </c>
      <c r="N24" s="169"/>
      <c r="O24" s="169"/>
      <c r="Q24" s="169" t="s">
        <v>99</v>
      </c>
      <c r="R24" s="169"/>
      <c r="S24" s="169"/>
    </row>
    <row r="25" spans="1:21" x14ac:dyDescent="0.2">
      <c r="A25" s="162" t="s">
        <v>1</v>
      </c>
      <c r="B25" s="162" t="s">
        <v>85</v>
      </c>
      <c r="C25" s="22" t="s">
        <v>76</v>
      </c>
      <c r="E25" s="162" t="s">
        <v>1</v>
      </c>
      <c r="F25" s="162" t="s">
        <v>85</v>
      </c>
      <c r="G25" s="144" t="s">
        <v>76</v>
      </c>
      <c r="I25" s="162" t="s">
        <v>1</v>
      </c>
      <c r="J25" s="162" t="s">
        <v>85</v>
      </c>
      <c r="K25" s="99" t="s">
        <v>76</v>
      </c>
      <c r="M25" s="162" t="s">
        <v>1</v>
      </c>
      <c r="N25" s="162" t="s">
        <v>85</v>
      </c>
      <c r="O25" s="110" t="s">
        <v>76</v>
      </c>
      <c r="Q25" s="162" t="s">
        <v>1</v>
      </c>
      <c r="R25" s="162" t="s">
        <v>85</v>
      </c>
      <c r="S25" s="122" t="s">
        <v>76</v>
      </c>
    </row>
    <row r="26" spans="1:21" x14ac:dyDescent="0.2">
      <c r="A26" s="162"/>
      <c r="B26" s="162"/>
      <c r="C26" s="20">
        <v>2016</v>
      </c>
      <c r="E26" s="162"/>
      <c r="F26" s="162"/>
      <c r="G26" s="20">
        <v>2017</v>
      </c>
      <c r="I26" s="162"/>
      <c r="J26" s="162"/>
      <c r="K26" s="20">
        <v>2018</v>
      </c>
      <c r="M26" s="162"/>
      <c r="N26" s="162"/>
      <c r="O26" s="20">
        <v>2019</v>
      </c>
      <c r="Q26" s="162"/>
      <c r="R26" s="162"/>
      <c r="S26" s="20">
        <v>2020</v>
      </c>
    </row>
    <row r="27" spans="1:21" x14ac:dyDescent="0.2">
      <c r="A27" s="1" t="s">
        <v>19</v>
      </c>
      <c r="B27" s="1" t="s">
        <v>51</v>
      </c>
      <c r="C27" s="93">
        <v>1.7999999999999999E-2</v>
      </c>
      <c r="D27" s="101"/>
      <c r="E27" s="94" t="s">
        <v>19</v>
      </c>
      <c r="F27" s="35" t="s">
        <v>51</v>
      </c>
      <c r="G27" s="95">
        <v>6.0000000000000001E-3</v>
      </c>
      <c r="H27" s="101"/>
      <c r="I27" s="1" t="s">
        <v>19</v>
      </c>
      <c r="J27" s="1" t="s">
        <v>51</v>
      </c>
      <c r="K27" s="95">
        <v>1E-3</v>
      </c>
      <c r="L27" s="105"/>
      <c r="M27" s="1" t="s">
        <v>19</v>
      </c>
      <c r="N27" s="1" t="s">
        <v>51</v>
      </c>
      <c r="O27" s="114">
        <f>2.78/1000</f>
        <v>2.7799999999999999E-3</v>
      </c>
      <c r="Q27" s="1" t="s">
        <v>19</v>
      </c>
      <c r="R27" s="1" t="s">
        <v>51</v>
      </c>
      <c r="S27" s="15">
        <v>1.15E-2</v>
      </c>
      <c r="U27" s="105"/>
    </row>
    <row r="28" spans="1:21" x14ac:dyDescent="0.2">
      <c r="A28" s="1" t="s">
        <v>19</v>
      </c>
      <c r="B28" s="1" t="s">
        <v>52</v>
      </c>
      <c r="C28" s="95">
        <v>0.17</v>
      </c>
      <c r="D28" s="100"/>
      <c r="E28" s="94" t="s">
        <v>19</v>
      </c>
      <c r="F28" s="35" t="s">
        <v>52</v>
      </c>
      <c r="G28" s="95">
        <v>0.16300000000000001</v>
      </c>
      <c r="H28" s="100"/>
      <c r="I28" s="1" t="s">
        <v>19</v>
      </c>
      <c r="J28" s="1" t="s">
        <v>52</v>
      </c>
      <c r="K28" s="95">
        <v>0.15800000000000003</v>
      </c>
      <c r="M28" s="1" t="s">
        <v>19</v>
      </c>
      <c r="N28" s="1" t="s">
        <v>52</v>
      </c>
      <c r="O28" s="15">
        <v>0.18099999999999999</v>
      </c>
      <c r="Q28" s="1" t="s">
        <v>19</v>
      </c>
      <c r="R28" s="1" t="s">
        <v>52</v>
      </c>
      <c r="S28" s="15">
        <v>0.15800000000000003</v>
      </c>
      <c r="U28" s="105"/>
    </row>
    <row r="29" spans="1:21" x14ac:dyDescent="0.2">
      <c r="A29" s="1" t="s">
        <v>19</v>
      </c>
      <c r="B29" s="1" t="s">
        <v>43</v>
      </c>
      <c r="C29" s="15">
        <v>3.0000000000000001E-3</v>
      </c>
      <c r="E29" s="35" t="s">
        <v>19</v>
      </c>
      <c r="F29" s="35" t="s">
        <v>43</v>
      </c>
      <c r="G29" s="38">
        <f>0.001</f>
        <v>1E-3</v>
      </c>
      <c r="I29" s="1" t="s">
        <v>19</v>
      </c>
      <c r="J29" s="1" t="s">
        <v>43</v>
      </c>
      <c r="K29" s="38">
        <v>1.57E-3</v>
      </c>
      <c r="M29" s="1" t="s">
        <v>19</v>
      </c>
      <c r="N29" s="1" t="s">
        <v>43</v>
      </c>
      <c r="O29" s="114">
        <f>0.17/1000</f>
        <v>1.7000000000000001E-4</v>
      </c>
      <c r="Q29" s="1" t="s">
        <v>19</v>
      </c>
      <c r="R29" s="1" t="s">
        <v>43</v>
      </c>
      <c r="S29" s="15">
        <v>8.0000000000000004E-4</v>
      </c>
      <c r="U29" s="105"/>
    </row>
    <row r="30" spans="1:21" x14ac:dyDescent="0.2">
      <c r="A30" s="1" t="s">
        <v>3</v>
      </c>
      <c r="B30" s="1" t="s">
        <v>53</v>
      </c>
      <c r="C30" s="15">
        <v>8.9999999999999993E-3</v>
      </c>
      <c r="E30" s="35" t="s">
        <v>3</v>
      </c>
      <c r="F30" s="35" t="s">
        <v>53</v>
      </c>
      <c r="G30" s="38">
        <f>0.007</f>
        <v>7.0000000000000001E-3</v>
      </c>
      <c r="I30" s="1" t="s">
        <v>3</v>
      </c>
      <c r="J30" s="1" t="s">
        <v>53</v>
      </c>
      <c r="K30" s="38">
        <v>5.7000000000000002E-3</v>
      </c>
      <c r="M30" s="1" t="s">
        <v>3</v>
      </c>
      <c r="N30" s="1" t="s">
        <v>53</v>
      </c>
      <c r="O30" s="114">
        <f>6/1000</f>
        <v>6.0000000000000001E-3</v>
      </c>
      <c r="Q30" s="1" t="s">
        <v>3</v>
      </c>
      <c r="R30" s="1" t="s">
        <v>53</v>
      </c>
      <c r="S30" s="15">
        <v>6.0000000000000001E-3</v>
      </c>
      <c r="U30" s="105"/>
    </row>
    <row r="31" spans="1:21" x14ac:dyDescent="0.2">
      <c r="A31" s="1" t="s">
        <v>3</v>
      </c>
      <c r="B31" s="1" t="s">
        <v>54</v>
      </c>
      <c r="C31" s="15">
        <v>5.0000000000000001E-3</v>
      </c>
      <c r="E31" s="35" t="s">
        <v>3</v>
      </c>
      <c r="F31" s="35" t="s">
        <v>54</v>
      </c>
      <c r="G31" s="38">
        <f>0.069</f>
        <v>6.9000000000000006E-2</v>
      </c>
      <c r="I31" s="1" t="s">
        <v>3</v>
      </c>
      <c r="J31" s="1" t="s">
        <v>54</v>
      </c>
      <c r="K31" s="95">
        <v>1.074E-2</v>
      </c>
      <c r="M31" s="1" t="s">
        <v>3</v>
      </c>
      <c r="N31" s="1" t="s">
        <v>54</v>
      </c>
      <c r="O31" s="114">
        <f>6.5/1000</f>
        <v>6.4999999999999997E-3</v>
      </c>
      <c r="Q31" s="1" t="s">
        <v>3</v>
      </c>
      <c r="R31" s="1" t="s">
        <v>54</v>
      </c>
      <c r="S31" s="15">
        <v>7.9000000000000008E-3</v>
      </c>
      <c r="U31" s="105"/>
    </row>
    <row r="32" spans="1:21" x14ac:dyDescent="0.2">
      <c r="A32" s="1" t="s">
        <v>3</v>
      </c>
      <c r="B32" s="1" t="s">
        <v>56</v>
      </c>
      <c r="C32" s="15">
        <v>0.04</v>
      </c>
      <c r="E32" s="35" t="s">
        <v>3</v>
      </c>
      <c r="F32" s="35" t="s">
        <v>55</v>
      </c>
      <c r="G32" s="38">
        <f>0.5/1000</f>
        <v>5.0000000000000001E-4</v>
      </c>
      <c r="I32" s="1" t="s">
        <v>3</v>
      </c>
      <c r="J32" s="1" t="s">
        <v>55</v>
      </c>
      <c r="K32" s="95">
        <v>5.1000000000000004E-4</v>
      </c>
      <c r="M32" s="1" t="s">
        <v>3</v>
      </c>
      <c r="N32" s="1" t="s">
        <v>55</v>
      </c>
      <c r="O32" s="114">
        <f>0.53/1000</f>
        <v>5.2999999999999998E-4</v>
      </c>
      <c r="Q32" s="1" t="s">
        <v>3</v>
      </c>
      <c r="R32" s="1" t="s">
        <v>55</v>
      </c>
      <c r="S32" s="15">
        <v>5.0000000000000001E-4</v>
      </c>
      <c r="U32" s="105"/>
    </row>
    <row r="33" spans="1:21" x14ac:dyDescent="0.2">
      <c r="A33" s="1" t="s">
        <v>3</v>
      </c>
      <c r="B33" s="1" t="s">
        <v>60</v>
      </c>
      <c r="C33" s="15">
        <v>1.2E-2</v>
      </c>
      <c r="E33" s="35" t="s">
        <v>3</v>
      </c>
      <c r="F33" s="35" t="s">
        <v>56</v>
      </c>
      <c r="G33" s="38">
        <f>0.045</f>
        <v>4.4999999999999998E-2</v>
      </c>
      <c r="I33" s="1" t="s">
        <v>3</v>
      </c>
      <c r="J33" s="1" t="s">
        <v>56</v>
      </c>
      <c r="K33" s="95">
        <v>3.9969999999999999E-2</v>
      </c>
      <c r="M33" s="1" t="s">
        <v>3</v>
      </c>
      <c r="N33" s="1" t="s">
        <v>56</v>
      </c>
      <c r="O33" s="114">
        <f>33.7/1000</f>
        <v>3.3700000000000001E-2</v>
      </c>
      <c r="Q33" s="1" t="s">
        <v>3</v>
      </c>
      <c r="R33" s="1" t="s">
        <v>56</v>
      </c>
      <c r="S33" s="15">
        <v>3.5000000000000003E-2</v>
      </c>
      <c r="U33" s="105"/>
    </row>
    <row r="34" spans="1:21" x14ac:dyDescent="0.2">
      <c r="A34" s="1" t="s">
        <v>3</v>
      </c>
      <c r="B34" s="1" t="s">
        <v>61</v>
      </c>
      <c r="C34" s="15">
        <v>0.22</v>
      </c>
      <c r="D34" s="28"/>
      <c r="E34" s="35" t="s">
        <v>3</v>
      </c>
      <c r="F34" s="35" t="s">
        <v>78</v>
      </c>
      <c r="G34" s="38">
        <f>0.0003</f>
        <v>2.9999999999999997E-4</v>
      </c>
      <c r="H34" s="27"/>
      <c r="I34" s="1" t="s">
        <v>3</v>
      </c>
      <c r="J34" s="1" t="s">
        <v>61</v>
      </c>
      <c r="K34" s="95">
        <v>0.111</v>
      </c>
      <c r="M34" s="1" t="s">
        <v>3</v>
      </c>
      <c r="N34" s="1" t="s">
        <v>61</v>
      </c>
      <c r="O34" s="114">
        <v>8.1699999999999995E-2</v>
      </c>
      <c r="Q34" s="1" t="s">
        <v>3</v>
      </c>
      <c r="R34" s="1" t="s">
        <v>61</v>
      </c>
      <c r="S34" s="15">
        <v>0.113</v>
      </c>
      <c r="U34" s="105"/>
    </row>
    <row r="35" spans="1:21" x14ac:dyDescent="0.2">
      <c r="A35" s="1" t="s">
        <v>5</v>
      </c>
      <c r="B35" s="1" t="s">
        <v>65</v>
      </c>
      <c r="C35" s="15">
        <v>0.01</v>
      </c>
      <c r="D35" s="31"/>
      <c r="E35" s="35" t="s">
        <v>3</v>
      </c>
      <c r="F35" s="35" t="s">
        <v>81</v>
      </c>
      <c r="G35" s="38">
        <v>0.02</v>
      </c>
      <c r="H35" s="27"/>
      <c r="I35" s="1" t="s">
        <v>3</v>
      </c>
      <c r="J35" s="1" t="s">
        <v>81</v>
      </c>
      <c r="K35" s="95">
        <v>1.9E-2</v>
      </c>
      <c r="M35" s="1" t="s">
        <v>3</v>
      </c>
      <c r="N35" s="1" t="s">
        <v>81</v>
      </c>
      <c r="O35" s="114">
        <f>16.17/1000</f>
        <v>1.617E-2</v>
      </c>
      <c r="Q35" s="1" t="s">
        <v>3</v>
      </c>
      <c r="R35" s="1" t="s">
        <v>60</v>
      </c>
      <c r="S35" s="15">
        <v>2E-3</v>
      </c>
      <c r="U35" s="105"/>
    </row>
    <row r="36" spans="1:21" x14ac:dyDescent="0.2">
      <c r="A36" s="1" t="s">
        <v>5</v>
      </c>
      <c r="B36" s="1" t="s">
        <v>67</v>
      </c>
      <c r="C36" s="15">
        <v>1.0999999999999999E-2</v>
      </c>
      <c r="E36" s="35" t="s">
        <v>3</v>
      </c>
      <c r="F36" s="35" t="s">
        <v>60</v>
      </c>
      <c r="G36" s="38">
        <f>11.07/1000</f>
        <v>1.107E-2</v>
      </c>
      <c r="I36" s="1" t="s">
        <v>5</v>
      </c>
      <c r="J36" s="1" t="s">
        <v>65</v>
      </c>
      <c r="K36" s="95">
        <v>1.5509999999999999E-2</v>
      </c>
      <c r="M36" s="1" t="s">
        <v>3</v>
      </c>
      <c r="N36" s="1" t="s">
        <v>60</v>
      </c>
      <c r="O36" s="114">
        <v>2E-3</v>
      </c>
      <c r="Q36" s="1" t="s">
        <v>5</v>
      </c>
      <c r="R36" s="1" t="s">
        <v>65</v>
      </c>
      <c r="S36" s="15">
        <v>2.6848807711821399E-2</v>
      </c>
      <c r="U36" s="105"/>
    </row>
    <row r="37" spans="1:21" x14ac:dyDescent="0.2">
      <c r="A37" s="1" t="s">
        <v>8</v>
      </c>
      <c r="B37" s="1" t="s">
        <v>79</v>
      </c>
      <c r="C37" s="15">
        <v>4.2000000000000003E-2</v>
      </c>
      <c r="E37" s="35" t="s">
        <v>3</v>
      </c>
      <c r="F37" s="35" t="s">
        <v>61</v>
      </c>
      <c r="G37" s="38">
        <v>0.111</v>
      </c>
      <c r="I37" s="1" t="s">
        <v>5</v>
      </c>
      <c r="J37" s="1" t="s">
        <v>66</v>
      </c>
      <c r="K37" s="95">
        <v>4.6100000000000004E-3</v>
      </c>
      <c r="M37" s="1" t="s">
        <v>5</v>
      </c>
      <c r="N37" s="1" t="s">
        <v>67</v>
      </c>
      <c r="O37" s="114">
        <f>4.4/1000</f>
        <v>4.4000000000000003E-3</v>
      </c>
      <c r="Q37" s="1" t="s">
        <v>5</v>
      </c>
      <c r="R37" s="1" t="s">
        <v>67</v>
      </c>
      <c r="S37" s="15">
        <v>4.8374953764769094E-3</v>
      </c>
      <c r="U37" s="105"/>
    </row>
    <row r="38" spans="1:21" x14ac:dyDescent="0.2">
      <c r="A38" s="1" t="s">
        <v>8</v>
      </c>
      <c r="B38" s="1" t="s">
        <v>69</v>
      </c>
      <c r="C38" s="15">
        <v>0.17499999999999999</v>
      </c>
      <c r="E38" s="35" t="s">
        <v>5</v>
      </c>
      <c r="F38" s="35" t="s">
        <v>65</v>
      </c>
      <c r="G38" s="38">
        <f>11.22/1000</f>
        <v>1.1220000000000001E-2</v>
      </c>
      <c r="I38" s="1" t="s">
        <v>5</v>
      </c>
      <c r="J38" s="1" t="s">
        <v>67</v>
      </c>
      <c r="K38" s="95">
        <v>1.12E-2</v>
      </c>
      <c r="M38" s="1" t="s">
        <v>8</v>
      </c>
      <c r="N38" s="1" t="s">
        <v>79</v>
      </c>
      <c r="O38" s="114">
        <f>46/1000</f>
        <v>4.5999999999999999E-2</v>
      </c>
      <c r="Q38" s="1" t="s">
        <v>8</v>
      </c>
      <c r="R38" s="1" t="s">
        <v>79</v>
      </c>
      <c r="S38" s="15">
        <v>4.2999999999999997E-2</v>
      </c>
      <c r="U38" s="105"/>
    </row>
    <row r="39" spans="1:21" x14ac:dyDescent="0.2">
      <c r="A39" s="1" t="s">
        <v>10</v>
      </c>
      <c r="B39" s="1" t="s">
        <v>70</v>
      </c>
      <c r="C39" s="15">
        <v>0.255</v>
      </c>
      <c r="E39" s="35" t="s">
        <v>5</v>
      </c>
      <c r="F39" s="35" t="s">
        <v>67</v>
      </c>
      <c r="G39" s="38">
        <f>18.3/1000</f>
        <v>1.83E-2</v>
      </c>
      <c r="I39" s="1" t="s">
        <v>8</v>
      </c>
      <c r="J39" s="1" t="s">
        <v>79</v>
      </c>
      <c r="K39" s="95">
        <v>0.05</v>
      </c>
      <c r="M39" s="1" t="s">
        <v>8</v>
      </c>
      <c r="N39" s="1" t="s">
        <v>69</v>
      </c>
      <c r="O39" s="114">
        <f xml:space="preserve"> 117.152879705262/1000</f>
        <v>0.11715287970526199</v>
      </c>
      <c r="P39" s="105"/>
      <c r="Q39" s="1" t="s">
        <v>8</v>
      </c>
      <c r="R39" s="1" t="s">
        <v>69</v>
      </c>
      <c r="S39" s="15">
        <v>0.14723108169063501</v>
      </c>
      <c r="U39" s="105"/>
    </row>
    <row r="40" spans="1:21" x14ac:dyDescent="0.2">
      <c r="A40" s="1" t="s">
        <v>10</v>
      </c>
      <c r="B40" s="1" t="s">
        <v>72</v>
      </c>
      <c r="C40" s="15">
        <v>4.0145990950355308E-2</v>
      </c>
      <c r="E40" s="35" t="s">
        <v>8</v>
      </c>
      <c r="F40" s="35" t="s">
        <v>79</v>
      </c>
      <c r="G40" s="38">
        <v>5.8999999999999997E-2</v>
      </c>
      <c r="I40" s="1" t="s">
        <v>8</v>
      </c>
      <c r="J40" s="1" t="s">
        <v>69</v>
      </c>
      <c r="K40" s="95">
        <v>0.1535</v>
      </c>
      <c r="M40" s="1" t="s">
        <v>10</v>
      </c>
      <c r="N40" s="1" t="s">
        <v>70</v>
      </c>
      <c r="O40" s="114">
        <f>183.2/1000</f>
        <v>0.1832</v>
      </c>
      <c r="P40" s="117"/>
      <c r="Q40" s="1" t="s">
        <v>10</v>
      </c>
      <c r="R40" s="1" t="s">
        <v>70</v>
      </c>
      <c r="S40" s="15">
        <v>0.17499999999999999</v>
      </c>
      <c r="U40" s="105"/>
    </row>
    <row r="41" spans="1:21" x14ac:dyDescent="0.2">
      <c r="A41" s="1" t="s">
        <v>12</v>
      </c>
      <c r="B41" s="1" t="s">
        <v>74</v>
      </c>
      <c r="C41" s="15">
        <v>0.13020502133508755</v>
      </c>
      <c r="E41" s="35" t="s">
        <v>8</v>
      </c>
      <c r="F41" s="35" t="s">
        <v>69</v>
      </c>
      <c r="G41" s="38">
        <f>199.1/1000</f>
        <v>0.1991</v>
      </c>
      <c r="I41" s="1" t="s">
        <v>10</v>
      </c>
      <c r="J41" s="1" t="s">
        <v>70</v>
      </c>
      <c r="K41" s="95">
        <v>0.2298</v>
      </c>
      <c r="L41" s="105"/>
      <c r="M41" s="1" t="s">
        <v>10</v>
      </c>
      <c r="N41" s="1" t="s">
        <v>72</v>
      </c>
      <c r="O41" s="114">
        <v>1.4298717992309383E-2</v>
      </c>
      <c r="P41" s="117"/>
      <c r="Q41" s="1" t="s">
        <v>10</v>
      </c>
      <c r="R41" s="1" t="s">
        <v>72</v>
      </c>
      <c r="S41" s="15">
        <v>3.477952813841606E-2</v>
      </c>
      <c r="U41" s="105"/>
    </row>
    <row r="42" spans="1:21" x14ac:dyDescent="0.2">
      <c r="A42" s="1" t="s">
        <v>45</v>
      </c>
      <c r="B42" s="1" t="s">
        <v>75</v>
      </c>
      <c r="C42" s="15">
        <v>0.26800000000000002</v>
      </c>
      <c r="E42" s="35" t="s">
        <v>10</v>
      </c>
      <c r="F42" s="35" t="s">
        <v>70</v>
      </c>
      <c r="G42" s="38">
        <f>246/1000</f>
        <v>0.246</v>
      </c>
      <c r="I42" s="1" t="s">
        <v>10</v>
      </c>
      <c r="J42" s="1" t="s">
        <v>72</v>
      </c>
      <c r="K42" s="95">
        <v>2.5673417012501587E-2</v>
      </c>
      <c r="M42" s="1" t="s">
        <v>12</v>
      </c>
      <c r="N42" s="1" t="s">
        <v>74</v>
      </c>
      <c r="O42" s="114">
        <v>0.11463060591343027</v>
      </c>
      <c r="Q42" s="1" t="s">
        <v>12</v>
      </c>
      <c r="R42" s="1" t="s">
        <v>74</v>
      </c>
      <c r="S42" s="15">
        <v>7.9580076519136761E-2</v>
      </c>
      <c r="U42" s="105"/>
    </row>
    <row r="43" spans="1:21" ht="24" x14ac:dyDescent="0.2">
      <c r="A43" s="23"/>
      <c r="B43" s="23"/>
      <c r="C43" s="23"/>
      <c r="D43" s="21"/>
      <c r="E43" s="35" t="s">
        <v>10</v>
      </c>
      <c r="F43" s="35" t="s">
        <v>72</v>
      </c>
      <c r="G43" s="38">
        <v>3.893695899425334E-2</v>
      </c>
      <c r="I43" s="1" t="s">
        <v>12</v>
      </c>
      <c r="J43" s="1" t="s">
        <v>74</v>
      </c>
      <c r="K43" s="95">
        <v>0.15265770642083648</v>
      </c>
      <c r="M43" s="1" t="s">
        <v>95</v>
      </c>
      <c r="N43" s="1" t="s">
        <v>75</v>
      </c>
      <c r="O43" s="114">
        <f>284.43/1000</f>
        <v>0.28443000000000002</v>
      </c>
      <c r="Q43" s="1" t="s">
        <v>95</v>
      </c>
      <c r="R43" s="1" t="s">
        <v>75</v>
      </c>
      <c r="S43" s="15">
        <v>0.30880000000000002</v>
      </c>
    </row>
    <row r="44" spans="1:21" ht="24" x14ac:dyDescent="0.2">
      <c r="A44" s="23"/>
      <c r="B44" s="4" t="s">
        <v>17</v>
      </c>
      <c r="C44" s="3">
        <f>SUM(C27:C42)</f>
        <v>1.408351012285443</v>
      </c>
      <c r="E44" s="35" t="s">
        <v>12</v>
      </c>
      <c r="F44" s="35" t="s">
        <v>74</v>
      </c>
      <c r="G44" s="38">
        <v>0.13482540977940716</v>
      </c>
      <c r="I44" s="1" t="s">
        <v>95</v>
      </c>
      <c r="J44" s="1" t="s">
        <v>75</v>
      </c>
      <c r="K44" s="95">
        <v>0.20075999999999999</v>
      </c>
    </row>
    <row r="45" spans="1:21" ht="24" x14ac:dyDescent="0.2">
      <c r="E45" s="35" t="s">
        <v>95</v>
      </c>
      <c r="F45" s="35" t="s">
        <v>75</v>
      </c>
      <c r="G45" s="38">
        <f>244.2/1000</f>
        <v>0.2442</v>
      </c>
      <c r="N45" s="115" t="s">
        <v>17</v>
      </c>
      <c r="O45" s="63">
        <f>SUM(O27:O43)</f>
        <v>1.0946622036110016</v>
      </c>
      <c r="R45" s="115" t="s">
        <v>17</v>
      </c>
      <c r="S45" s="63">
        <f>SUM(S27:S43)</f>
        <v>1.1547769894364861</v>
      </c>
    </row>
    <row r="46" spans="1:21" x14ac:dyDescent="0.2">
      <c r="C46" s="151"/>
      <c r="J46" s="64" t="s">
        <v>17</v>
      </c>
      <c r="K46" s="63">
        <f>SUM(K27:K44)</f>
        <v>1.1912011234333382</v>
      </c>
    </row>
    <row r="47" spans="1:21" x14ac:dyDescent="0.2">
      <c r="F47" s="64" t="s">
        <v>17</v>
      </c>
      <c r="G47" s="63">
        <f>SUM(G27:G45)</f>
        <v>1.3854523687736606</v>
      </c>
    </row>
    <row r="49" spans="7:19" x14ac:dyDescent="0.2">
      <c r="G49" s="151"/>
      <c r="K49" s="151"/>
      <c r="O49" s="151"/>
      <c r="S49" s="151"/>
    </row>
  </sheetData>
  <mergeCells count="19">
    <mergeCell ref="A1:K1"/>
    <mergeCell ref="C2:K2"/>
    <mergeCell ref="M24:O24"/>
    <mergeCell ref="M25:M26"/>
    <mergeCell ref="N25:N26"/>
    <mergeCell ref="I24:K24"/>
    <mergeCell ref="E24:G24"/>
    <mergeCell ref="E25:E26"/>
    <mergeCell ref="F25:F26"/>
    <mergeCell ref="A2:A3"/>
    <mergeCell ref="B2:B3"/>
    <mergeCell ref="B25:B26"/>
    <mergeCell ref="A25:A26"/>
    <mergeCell ref="A24:C24"/>
    <mergeCell ref="Q24:S24"/>
    <mergeCell ref="Q25:Q26"/>
    <mergeCell ref="R25:R26"/>
    <mergeCell ref="I25:I26"/>
    <mergeCell ref="J25:J26"/>
  </mergeCells>
  <pageMargins left="0.7" right="0.7" top="0.75" bottom="0.75" header="0.3" footer="0.3"/>
  <pageSetup orientation="portrait" r:id="rId1"/>
  <ignoredErrors>
    <ignoredError sqref="C44 K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150" zoomScaleNormal="55" workbookViewId="0">
      <selection activeCell="D13" sqref="D13"/>
    </sheetView>
  </sheetViews>
  <sheetFormatPr baseColWidth="10" defaultColWidth="11.5" defaultRowHeight="15" x14ac:dyDescent="0.2"/>
  <cols>
    <col min="1" max="1" width="30.83203125" customWidth="1"/>
    <col min="2" max="2" width="20.83203125" customWidth="1"/>
    <col min="3" max="4" width="11.83203125" customWidth="1"/>
  </cols>
  <sheetData>
    <row r="1" spans="1:14" ht="27.75" customHeight="1" x14ac:dyDescent="0.2">
      <c r="A1" s="170" t="s">
        <v>49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4" x14ac:dyDescent="0.2">
      <c r="A2" s="162" t="s">
        <v>1</v>
      </c>
      <c r="B2" s="162" t="s">
        <v>37</v>
      </c>
      <c r="C2" s="171" t="s">
        <v>44</v>
      </c>
      <c r="D2" s="171"/>
      <c r="E2" s="171"/>
      <c r="F2" s="171"/>
      <c r="G2" s="171"/>
      <c r="H2" s="171"/>
      <c r="I2" s="171"/>
      <c r="J2" s="171"/>
      <c r="K2" s="171"/>
    </row>
    <row r="3" spans="1:14" x14ac:dyDescent="0.2">
      <c r="A3" s="162"/>
      <c r="B3" s="162"/>
      <c r="C3" s="120">
        <v>2012</v>
      </c>
      <c r="D3" s="120">
        <v>2013</v>
      </c>
      <c r="E3" s="120">
        <v>2014</v>
      </c>
      <c r="F3" s="120">
        <v>2015</v>
      </c>
      <c r="G3" s="120">
        <v>2016</v>
      </c>
      <c r="H3" s="120">
        <v>2017</v>
      </c>
      <c r="I3" s="120">
        <v>2018</v>
      </c>
      <c r="J3" s="120">
        <v>2019</v>
      </c>
      <c r="K3" s="120">
        <v>2020</v>
      </c>
      <c r="N3" s="105"/>
    </row>
    <row r="4" spans="1:14" x14ac:dyDescent="0.2">
      <c r="A4" s="10" t="s">
        <v>3</v>
      </c>
      <c r="B4" s="10" t="s">
        <v>38</v>
      </c>
      <c r="C4" s="11">
        <v>0.66999999999999993</v>
      </c>
      <c r="D4" s="11">
        <v>0.66999999999999993</v>
      </c>
      <c r="E4" s="12">
        <v>0.65600000000000003</v>
      </c>
      <c r="F4" s="12">
        <v>0.75900000000000001</v>
      </c>
      <c r="G4" s="12">
        <v>1.0680000000000001</v>
      </c>
      <c r="H4" s="46">
        <v>1.1180000000000001</v>
      </c>
      <c r="I4" s="46">
        <v>1.105741524495814</v>
      </c>
      <c r="J4" s="46">
        <v>1.073042591783993</v>
      </c>
      <c r="K4" s="46">
        <v>1.1012201951482981</v>
      </c>
      <c r="N4" s="105"/>
    </row>
    <row r="5" spans="1:14" x14ac:dyDescent="0.2">
      <c r="A5" s="10" t="s">
        <v>3</v>
      </c>
      <c r="B5" s="10" t="s">
        <v>39</v>
      </c>
      <c r="C5" s="13" t="s">
        <v>47</v>
      </c>
      <c r="D5" s="13" t="s">
        <v>47</v>
      </c>
      <c r="E5" s="12">
        <v>0.2</v>
      </c>
      <c r="F5" s="12">
        <v>0.52400000000000002</v>
      </c>
      <c r="G5" s="12">
        <v>0.64800000000000002</v>
      </c>
      <c r="H5" s="46">
        <v>0.64800000000000002</v>
      </c>
      <c r="I5" s="46">
        <v>0.877</v>
      </c>
      <c r="J5" s="46">
        <v>0.80900000000000005</v>
      </c>
      <c r="K5" s="46">
        <v>0.97129999999999994</v>
      </c>
      <c r="N5" s="105"/>
    </row>
    <row r="6" spans="1:14" x14ac:dyDescent="0.2">
      <c r="A6" s="10" t="s">
        <v>3</v>
      </c>
      <c r="B6" s="10" t="s">
        <v>40</v>
      </c>
      <c r="C6" s="70" t="s">
        <v>47</v>
      </c>
      <c r="D6" s="70" t="s">
        <v>47</v>
      </c>
      <c r="E6" s="71" t="s">
        <v>47</v>
      </c>
      <c r="F6" s="72" t="s">
        <v>47</v>
      </c>
      <c r="G6" s="59" t="s">
        <v>47</v>
      </c>
      <c r="H6" s="45" t="s">
        <v>47</v>
      </c>
      <c r="I6" s="45" t="s">
        <v>47</v>
      </c>
      <c r="J6" s="45" t="s">
        <v>47</v>
      </c>
      <c r="K6" s="45" t="s">
        <v>47</v>
      </c>
      <c r="N6" s="105"/>
    </row>
    <row r="7" spans="1:14" x14ac:dyDescent="0.2">
      <c r="A7" s="67"/>
      <c r="B7" s="67"/>
      <c r="C7" s="68"/>
      <c r="D7" s="69"/>
      <c r="E7" s="69"/>
      <c r="F7" s="69"/>
      <c r="H7" s="73"/>
      <c r="I7" s="73"/>
    </row>
    <row r="8" spans="1:14" x14ac:dyDescent="0.2">
      <c r="A8" s="6"/>
      <c r="B8" s="4" t="s">
        <v>17</v>
      </c>
      <c r="C8" s="2">
        <v>0.7</v>
      </c>
      <c r="D8" s="2">
        <v>0.7</v>
      </c>
      <c r="E8" s="3">
        <f>SUM(E4:E5)</f>
        <v>0.85600000000000009</v>
      </c>
      <c r="F8" s="3">
        <f>SUM(F4:F5)</f>
        <v>1.2829999999999999</v>
      </c>
      <c r="G8" s="39">
        <f>SUM(G4:G6)</f>
        <v>1.7160000000000002</v>
      </c>
      <c r="H8" s="46">
        <f>SUM(H4:H6)</f>
        <v>1.766</v>
      </c>
      <c r="I8" s="46">
        <f>SUM(I4:I6)</f>
        <v>1.982741524495814</v>
      </c>
      <c r="J8" s="46">
        <f>SUM(J4:J6)</f>
        <v>1.8820425917839931</v>
      </c>
      <c r="K8" s="46">
        <f>SUM(K4:K6)</f>
        <v>2.0725201951482979</v>
      </c>
    </row>
    <row r="10" spans="1:14" ht="30" customHeight="1" x14ac:dyDescent="0.2">
      <c r="A10" s="172" t="s">
        <v>87</v>
      </c>
      <c r="B10" s="171"/>
      <c r="C10" s="171"/>
      <c r="D10" s="171"/>
      <c r="E10" s="171"/>
      <c r="F10" s="171"/>
      <c r="G10" s="171"/>
    </row>
    <row r="11" spans="1:14" x14ac:dyDescent="0.2">
      <c r="A11" s="173" t="s">
        <v>1</v>
      </c>
      <c r="B11" s="162" t="s">
        <v>85</v>
      </c>
      <c r="C11" s="171" t="str">
        <f>+C2</f>
        <v>Caudal (m3/s)</v>
      </c>
      <c r="D11" s="171"/>
      <c r="E11" s="171"/>
      <c r="F11" s="171"/>
      <c r="G11" s="171"/>
    </row>
    <row r="12" spans="1:14" x14ac:dyDescent="0.2">
      <c r="A12" s="173"/>
      <c r="B12" s="162"/>
      <c r="C12" s="131">
        <v>2016</v>
      </c>
      <c r="D12" s="131">
        <v>2017</v>
      </c>
      <c r="E12" s="131">
        <v>2018</v>
      </c>
      <c r="F12" s="131">
        <v>2019</v>
      </c>
      <c r="G12" s="131">
        <v>2020</v>
      </c>
    </row>
    <row r="13" spans="1:14" x14ac:dyDescent="0.2">
      <c r="A13" s="132" t="s">
        <v>3</v>
      </c>
      <c r="B13" s="10" t="s">
        <v>57</v>
      </c>
      <c r="C13" s="12">
        <v>0.88</v>
      </c>
      <c r="D13" s="133">
        <f>918.51/1000</f>
        <v>0.91850999999999994</v>
      </c>
      <c r="E13" s="133">
        <v>0.91796038181760498</v>
      </c>
      <c r="F13" s="133">
        <v>0.89500000000000002</v>
      </c>
      <c r="G13" s="133">
        <v>0.91819854517683697</v>
      </c>
    </row>
    <row r="14" spans="1:14" x14ac:dyDescent="0.2">
      <c r="A14" s="132" t="s">
        <v>3</v>
      </c>
      <c r="B14" s="10" t="s">
        <v>80</v>
      </c>
      <c r="C14" s="12">
        <v>0.188</v>
      </c>
      <c r="D14" s="133">
        <v>0.2</v>
      </c>
      <c r="E14" s="133">
        <v>0.187781142678209</v>
      </c>
      <c r="F14" s="133">
        <v>0.17804259178399301</v>
      </c>
      <c r="G14" s="133">
        <v>0.18302164997146098</v>
      </c>
    </row>
    <row r="15" spans="1:14" x14ac:dyDescent="0.2">
      <c r="A15" s="132" t="s">
        <v>3</v>
      </c>
      <c r="B15" s="10" t="s">
        <v>78</v>
      </c>
      <c r="C15" s="12">
        <v>0.64800000000000002</v>
      </c>
      <c r="D15" s="133">
        <f>647.9/1000</f>
        <v>0.64790000000000003</v>
      </c>
      <c r="E15" s="133">
        <v>0.877</v>
      </c>
      <c r="F15" s="133">
        <v>0.80900000000000005</v>
      </c>
      <c r="G15" s="133">
        <v>0.97129999999999994</v>
      </c>
    </row>
    <row r="16" spans="1:14" x14ac:dyDescent="0.2">
      <c r="B16" s="130"/>
      <c r="C16" s="130"/>
      <c r="D16" s="75"/>
      <c r="E16" s="75"/>
    </row>
    <row r="17" spans="2:7" x14ac:dyDescent="0.2">
      <c r="B17" s="19" t="s">
        <v>17</v>
      </c>
      <c r="C17" s="66">
        <f>SUM(C13:C15)</f>
        <v>1.7160000000000002</v>
      </c>
      <c r="D17" s="46">
        <f>SUM(D13:D15)</f>
        <v>1.76641</v>
      </c>
      <c r="E17" s="46">
        <f>SUM(E13:E15)</f>
        <v>1.982741524495814</v>
      </c>
      <c r="F17" s="46">
        <f>SUM(F13:F15)</f>
        <v>1.8820425917839931</v>
      </c>
      <c r="G17" s="46">
        <f>SUM(G13:G15)</f>
        <v>2.0725201951482979</v>
      </c>
    </row>
  </sheetData>
  <mergeCells count="8">
    <mergeCell ref="A1:K1"/>
    <mergeCell ref="C11:G11"/>
    <mergeCell ref="A10:G10"/>
    <mergeCell ref="A11:A12"/>
    <mergeCell ref="B11:B12"/>
    <mergeCell ref="A2:A3"/>
    <mergeCell ref="B2:B3"/>
    <mergeCell ref="C2:K2"/>
  </mergeCells>
  <dataValidations disablePrompts="1" count="1">
    <dataValidation type="list" allowBlank="1" showInputMessage="1" showErrorMessage="1" sqref="B16" xr:uid="{00000000-0002-0000-0300-000000000000}">
      <formula1>Región</formula1>
    </dataValidation>
  </dataValidations>
  <pageMargins left="0.7" right="0.7" top="0.75" bottom="0.75" header="0.3" footer="0.3"/>
  <pageSetup orientation="portrait" r:id="rId1"/>
  <ignoredErrors>
    <ignoredError sqref="E8:G8 C17 E17:G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zoomScale="107" zoomScaleNormal="40" workbookViewId="0">
      <selection activeCell="H7" sqref="H7"/>
    </sheetView>
  </sheetViews>
  <sheetFormatPr baseColWidth="10" defaultColWidth="11.5" defaultRowHeight="15" x14ac:dyDescent="0.2"/>
  <cols>
    <col min="1" max="1" width="30.83203125" customWidth="1"/>
    <col min="2" max="2" width="20.83203125" customWidth="1"/>
    <col min="3" max="3" width="11.83203125" customWidth="1"/>
    <col min="4" max="4" width="13.1640625" customWidth="1"/>
    <col min="5" max="5" width="18.1640625" customWidth="1"/>
    <col min="6" max="6" width="19.5" customWidth="1"/>
    <col min="9" max="9" width="15.5" customWidth="1"/>
    <col min="10" max="10" width="13.83203125" customWidth="1"/>
    <col min="13" max="13" width="22.5" customWidth="1"/>
    <col min="14" max="14" width="17.5" customWidth="1"/>
    <col min="17" max="17" width="15.33203125" bestFit="1" customWidth="1"/>
    <col min="18" max="18" width="15.5" customWidth="1"/>
    <col min="19" max="19" width="16.1640625" customWidth="1"/>
  </cols>
  <sheetData>
    <row r="1" spans="1:19" ht="24.75" customHeight="1" x14ac:dyDescent="0.2">
      <c r="A1" s="171" t="s">
        <v>50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9" x14ac:dyDescent="0.2">
      <c r="A2" s="166" t="s">
        <v>1</v>
      </c>
      <c r="B2" s="166" t="s">
        <v>37</v>
      </c>
      <c r="C2" s="171" t="s">
        <v>44</v>
      </c>
      <c r="D2" s="171"/>
      <c r="E2" s="171"/>
      <c r="F2" s="171"/>
      <c r="G2" s="171"/>
      <c r="H2" s="171"/>
      <c r="I2" s="171"/>
      <c r="J2" s="171"/>
      <c r="K2" s="171"/>
    </row>
    <row r="3" spans="1:19" x14ac:dyDescent="0.2">
      <c r="A3" s="166"/>
      <c r="B3" s="166"/>
      <c r="C3" s="120">
        <v>2012</v>
      </c>
      <c r="D3" s="120">
        <v>2013</v>
      </c>
      <c r="E3" s="120">
        <v>2014</v>
      </c>
      <c r="F3" s="120">
        <v>2015</v>
      </c>
      <c r="G3" s="120">
        <v>2016</v>
      </c>
      <c r="H3" s="120">
        <v>2017</v>
      </c>
      <c r="I3" s="120">
        <v>2018</v>
      </c>
      <c r="J3" s="120">
        <v>2019</v>
      </c>
      <c r="K3" s="120">
        <v>2020</v>
      </c>
    </row>
    <row r="4" spans="1:19" x14ac:dyDescent="0.2">
      <c r="A4" s="10" t="s">
        <v>3</v>
      </c>
      <c r="B4" s="10" t="s">
        <v>40</v>
      </c>
      <c r="C4" s="11">
        <v>0.3</v>
      </c>
      <c r="D4" s="11">
        <v>0.3</v>
      </c>
      <c r="E4" s="12">
        <v>0.32400000000000001</v>
      </c>
      <c r="F4" s="12">
        <v>0.31900000000000001</v>
      </c>
      <c r="G4" s="12">
        <v>0.371</v>
      </c>
      <c r="H4" s="12">
        <v>0.97399999999999998</v>
      </c>
      <c r="I4" s="12">
        <v>1.7869999999999999</v>
      </c>
      <c r="J4" s="12">
        <v>1.81</v>
      </c>
      <c r="K4" s="12">
        <v>3.0649999999999999</v>
      </c>
    </row>
    <row r="5" spans="1:19" x14ac:dyDescent="0.2">
      <c r="A5" s="10" t="s">
        <v>3</v>
      </c>
      <c r="B5" s="10" t="s">
        <v>39</v>
      </c>
      <c r="C5" s="11" t="s">
        <v>47</v>
      </c>
      <c r="D5" s="11" t="s">
        <v>47</v>
      </c>
      <c r="E5" s="12" t="s">
        <v>47</v>
      </c>
      <c r="F5" s="12">
        <v>0.1</v>
      </c>
      <c r="G5" s="12">
        <v>7.0000000000000007E-2</v>
      </c>
      <c r="H5" s="12">
        <v>7.0000000000000007E-2</v>
      </c>
      <c r="I5" s="12" t="s">
        <v>47</v>
      </c>
      <c r="J5" s="12" t="s">
        <v>47</v>
      </c>
      <c r="K5" s="12" t="s">
        <v>47</v>
      </c>
    </row>
    <row r="6" spans="1:19" x14ac:dyDescent="0.2">
      <c r="A6" s="10" t="s">
        <v>3</v>
      </c>
      <c r="B6" s="60" t="s">
        <v>38</v>
      </c>
      <c r="C6" s="76" t="s">
        <v>47</v>
      </c>
      <c r="D6" s="76" t="s">
        <v>47</v>
      </c>
      <c r="E6" s="76" t="s">
        <v>47</v>
      </c>
      <c r="F6" s="76" t="s">
        <v>47</v>
      </c>
      <c r="G6" s="76" t="s">
        <v>47</v>
      </c>
      <c r="H6" s="43" t="s">
        <v>47</v>
      </c>
      <c r="I6" s="43" t="s">
        <v>47</v>
      </c>
      <c r="J6" s="43" t="s">
        <v>47</v>
      </c>
      <c r="K6" s="43" t="s">
        <v>47</v>
      </c>
    </row>
    <row r="7" spans="1:19" x14ac:dyDescent="0.2">
      <c r="A7" s="10" t="s">
        <v>5</v>
      </c>
      <c r="B7" s="1" t="s">
        <v>101</v>
      </c>
      <c r="C7" s="13" t="s">
        <v>47</v>
      </c>
      <c r="D7" s="11">
        <v>0.2</v>
      </c>
      <c r="E7" s="12">
        <v>0.37</v>
      </c>
      <c r="F7" s="12">
        <v>0.42899999999999999</v>
      </c>
      <c r="G7" s="12">
        <v>0.38200000000000001</v>
      </c>
      <c r="H7" s="12">
        <v>0.32900000000000001</v>
      </c>
      <c r="I7" s="12">
        <v>0.3278323959918823</v>
      </c>
      <c r="J7" s="12">
        <v>0.24496000000000001</v>
      </c>
      <c r="K7" s="12">
        <v>0.17535000000000001</v>
      </c>
    </row>
    <row r="8" spans="1:19" x14ac:dyDescent="0.2">
      <c r="A8" s="10" t="s">
        <v>5</v>
      </c>
      <c r="B8" s="10" t="s">
        <v>41</v>
      </c>
      <c r="C8" s="13" t="s">
        <v>47</v>
      </c>
      <c r="D8" s="13" t="s">
        <v>47</v>
      </c>
      <c r="E8" s="12">
        <v>3.4000000000000002E-2</v>
      </c>
      <c r="F8" s="13" t="s">
        <v>47</v>
      </c>
      <c r="G8" s="12" t="s">
        <v>47</v>
      </c>
      <c r="H8" s="12">
        <v>0</v>
      </c>
      <c r="I8" s="12" t="s">
        <v>47</v>
      </c>
      <c r="J8" s="12" t="s">
        <v>47</v>
      </c>
      <c r="K8" s="12" t="s">
        <v>47</v>
      </c>
    </row>
    <row r="9" spans="1:19" x14ac:dyDescent="0.2">
      <c r="A9" s="127" t="s">
        <v>5</v>
      </c>
      <c r="B9" s="127" t="s">
        <v>96</v>
      </c>
      <c r="C9" s="128" t="s">
        <v>47</v>
      </c>
      <c r="D9" s="128" t="s">
        <v>47</v>
      </c>
      <c r="E9" s="128" t="s">
        <v>47</v>
      </c>
      <c r="F9" s="128" t="s">
        <v>47</v>
      </c>
      <c r="G9" s="128" t="s">
        <v>47</v>
      </c>
      <c r="H9" s="129">
        <v>9.6199999999999994E-2</v>
      </c>
      <c r="I9" s="129" t="s">
        <v>47</v>
      </c>
      <c r="J9" s="129" t="s">
        <v>47</v>
      </c>
      <c r="K9" s="129" t="s">
        <v>47</v>
      </c>
    </row>
    <row r="10" spans="1:19" x14ac:dyDescent="0.2">
      <c r="A10" s="7"/>
      <c r="B10" s="7"/>
      <c r="C10" s="8"/>
      <c r="D10" s="9"/>
      <c r="E10" s="9"/>
      <c r="F10" s="9"/>
    </row>
    <row r="11" spans="1:19" x14ac:dyDescent="0.2">
      <c r="A11" s="7"/>
      <c r="B11" s="4" t="s">
        <v>17</v>
      </c>
      <c r="C11" s="2">
        <v>0.3</v>
      </c>
      <c r="D11" s="2">
        <v>0.5</v>
      </c>
      <c r="E11" s="3">
        <f>SUM(E4:E8)</f>
        <v>0.72799999999999998</v>
      </c>
      <c r="F11" s="3">
        <f>SUM(F4:F8)</f>
        <v>0.84800000000000009</v>
      </c>
      <c r="G11" s="3">
        <f>SUM(G4:G8)</f>
        <v>0.82299999999999995</v>
      </c>
      <c r="H11" s="3">
        <f>SUM(H4:H9)</f>
        <v>1.4692000000000001</v>
      </c>
      <c r="I11" s="3">
        <f>SUM(I4:I9)</f>
        <v>2.1148323959918822</v>
      </c>
      <c r="J11" s="3">
        <f>SUM(J4:J9)</f>
        <v>2.0549599999999999</v>
      </c>
      <c r="K11" s="3">
        <f>SUM(K4:K9)</f>
        <v>3.2403499999999998</v>
      </c>
    </row>
    <row r="12" spans="1:19" x14ac:dyDescent="0.2">
      <c r="A12" s="7"/>
    </row>
    <row r="14" spans="1:19" ht="30" customHeight="1" x14ac:dyDescent="0.2">
      <c r="A14" s="169" t="s">
        <v>88</v>
      </c>
      <c r="B14" s="169"/>
      <c r="C14" s="169"/>
      <c r="E14" s="174" t="s">
        <v>88</v>
      </c>
      <c r="F14" s="175"/>
      <c r="G14" s="176"/>
      <c r="I14" s="174" t="s">
        <v>88</v>
      </c>
      <c r="J14" s="175"/>
      <c r="K14" s="176"/>
      <c r="M14" s="174" t="s">
        <v>88</v>
      </c>
      <c r="N14" s="175"/>
      <c r="O14" s="176"/>
      <c r="Q14" s="174" t="s">
        <v>88</v>
      </c>
      <c r="R14" s="175"/>
      <c r="S14" s="176"/>
    </row>
    <row r="15" spans="1:19" ht="23" customHeight="1" x14ac:dyDescent="0.2">
      <c r="A15" s="177" t="s">
        <v>1</v>
      </c>
      <c r="B15" s="177" t="s">
        <v>85</v>
      </c>
      <c r="C15" s="111" t="s">
        <v>76</v>
      </c>
      <c r="E15" s="177" t="s">
        <v>1</v>
      </c>
      <c r="F15" s="177" t="s">
        <v>85</v>
      </c>
      <c r="G15" s="33" t="s">
        <v>76</v>
      </c>
      <c r="I15" s="177" t="s">
        <v>1</v>
      </c>
      <c r="J15" s="177" t="s">
        <v>85</v>
      </c>
      <c r="K15" s="99" t="s">
        <v>76</v>
      </c>
      <c r="M15" s="177" t="s">
        <v>1</v>
      </c>
      <c r="N15" s="177" t="s">
        <v>85</v>
      </c>
      <c r="O15" s="111" t="s">
        <v>76</v>
      </c>
      <c r="Q15" s="177" t="s">
        <v>1</v>
      </c>
      <c r="R15" s="177" t="s">
        <v>85</v>
      </c>
      <c r="S15" s="122" t="s">
        <v>76</v>
      </c>
    </row>
    <row r="16" spans="1:19" ht="14.5" customHeight="1" x14ac:dyDescent="0.2">
      <c r="A16" s="177"/>
      <c r="B16" s="177"/>
      <c r="C16" s="24">
        <v>2016</v>
      </c>
      <c r="E16" s="177"/>
      <c r="F16" s="177"/>
      <c r="G16" s="74">
        <v>2017</v>
      </c>
      <c r="I16" s="177"/>
      <c r="J16" s="177"/>
      <c r="K16" s="74">
        <v>2018</v>
      </c>
      <c r="M16" s="177"/>
      <c r="N16" s="177"/>
      <c r="O16" s="112">
        <v>2019</v>
      </c>
      <c r="Q16" s="177"/>
      <c r="R16" s="177"/>
      <c r="S16" s="123">
        <v>2020</v>
      </c>
    </row>
    <row r="17" spans="1:19" x14ac:dyDescent="0.2">
      <c r="A17" s="1" t="s">
        <v>3</v>
      </c>
      <c r="B17" s="1" t="s">
        <v>61</v>
      </c>
      <c r="C17" s="3">
        <v>0.371</v>
      </c>
      <c r="D17" s="29"/>
      <c r="E17" s="42" t="s">
        <v>3</v>
      </c>
      <c r="F17" s="42" t="s">
        <v>61</v>
      </c>
      <c r="G17" s="59">
        <v>0.97399999999999998</v>
      </c>
      <c r="H17" s="27"/>
      <c r="I17" s="1" t="s">
        <v>3</v>
      </c>
      <c r="J17" s="1" t="s">
        <v>61</v>
      </c>
      <c r="K17" s="59">
        <v>1.7869999999999999</v>
      </c>
      <c r="M17" s="1" t="s">
        <v>3</v>
      </c>
      <c r="N17" s="1" t="s">
        <v>61</v>
      </c>
      <c r="O17" s="59">
        <f>1.81</f>
        <v>1.81</v>
      </c>
      <c r="Q17" s="1" t="s">
        <v>3</v>
      </c>
      <c r="R17" s="1" t="s">
        <v>61</v>
      </c>
      <c r="S17" s="3">
        <f>3.065</f>
        <v>3.0649999999999999</v>
      </c>
    </row>
    <row r="18" spans="1:19" x14ac:dyDescent="0.2">
      <c r="A18" s="1" t="s">
        <v>3</v>
      </c>
      <c r="B18" s="1" t="s">
        <v>78</v>
      </c>
      <c r="C18" s="3">
        <v>7.0000000000000007E-2</v>
      </c>
      <c r="E18" s="42" t="s">
        <v>3</v>
      </c>
      <c r="F18" s="42" t="s">
        <v>78</v>
      </c>
      <c r="G18" s="59">
        <v>6.9699999999999998E-2</v>
      </c>
      <c r="I18" s="1" t="s">
        <v>5</v>
      </c>
      <c r="J18" s="1" t="s">
        <v>65</v>
      </c>
      <c r="K18" s="59">
        <v>7.90423959918823E-2</v>
      </c>
      <c r="M18" s="1" t="s">
        <v>5</v>
      </c>
      <c r="N18" s="1" t="s">
        <v>65</v>
      </c>
      <c r="O18" s="59" t="s">
        <v>47</v>
      </c>
      <c r="Q18" s="1" t="s">
        <v>5</v>
      </c>
      <c r="R18" s="1" t="s">
        <v>65</v>
      </c>
      <c r="S18" s="3">
        <f>74.64/1000</f>
        <v>7.4639999999999998E-2</v>
      </c>
    </row>
    <row r="19" spans="1:19" x14ac:dyDescent="0.2">
      <c r="A19" s="1" t="s">
        <v>5</v>
      </c>
      <c r="B19" s="1" t="s">
        <v>66</v>
      </c>
      <c r="C19" s="3">
        <v>0.30499999999999999</v>
      </c>
      <c r="E19" s="1" t="s">
        <v>5</v>
      </c>
      <c r="F19" s="1" t="s">
        <v>65</v>
      </c>
      <c r="G19" s="59">
        <v>7.8600000000000003E-2</v>
      </c>
      <c r="I19" s="42" t="s">
        <v>5</v>
      </c>
      <c r="J19" s="42" t="s">
        <v>66</v>
      </c>
      <c r="K19" s="59">
        <v>0.24878999999999998</v>
      </c>
      <c r="M19" s="1" t="s">
        <v>5</v>
      </c>
      <c r="N19" s="1" t="s">
        <v>66</v>
      </c>
      <c r="O19" s="59">
        <v>0.24496000000000001</v>
      </c>
      <c r="Q19" s="1" t="s">
        <v>5</v>
      </c>
      <c r="R19" s="1" t="s">
        <v>66</v>
      </c>
      <c r="S19" s="3">
        <f>100.71/1000</f>
        <v>0.10070999999999999</v>
      </c>
    </row>
    <row r="20" spans="1:19" x14ac:dyDescent="0.2">
      <c r="A20" s="1" t="s">
        <v>5</v>
      </c>
      <c r="B20" s="1" t="s">
        <v>65</v>
      </c>
      <c r="C20" s="3">
        <v>7.6999999999999999E-2</v>
      </c>
      <c r="E20" s="42" t="s">
        <v>5</v>
      </c>
      <c r="F20" s="42" t="s">
        <v>66</v>
      </c>
      <c r="G20" s="59">
        <v>0.25090000000000001</v>
      </c>
    </row>
    <row r="21" spans="1:19" x14ac:dyDescent="0.2">
      <c r="A21" s="25"/>
      <c r="B21" s="25"/>
      <c r="C21" s="25"/>
      <c r="D21" s="77"/>
      <c r="E21" s="42" t="s">
        <v>5</v>
      </c>
      <c r="F21" s="42" t="s">
        <v>93</v>
      </c>
      <c r="G21" s="59">
        <v>3.9200000000000006E-2</v>
      </c>
      <c r="J21" s="4" t="s">
        <v>17</v>
      </c>
      <c r="K21" s="3">
        <f>SUM(K17:K19)</f>
        <v>2.1148323959918822</v>
      </c>
      <c r="N21" s="4" t="s">
        <v>17</v>
      </c>
      <c r="O21" s="3">
        <f>SUM(O17:O19)</f>
        <v>2.0549599999999999</v>
      </c>
      <c r="R21" s="4" t="s">
        <v>17</v>
      </c>
      <c r="S21" s="3">
        <f>SUM(S17:S19)</f>
        <v>3.2403499999999998</v>
      </c>
    </row>
    <row r="22" spans="1:19" x14ac:dyDescent="0.2">
      <c r="B22" s="4" t="s">
        <v>17</v>
      </c>
      <c r="C22" s="3">
        <f>SUM(C17:C20)</f>
        <v>0.82299999999999995</v>
      </c>
      <c r="E22" s="42" t="s">
        <v>5</v>
      </c>
      <c r="F22" s="60" t="s">
        <v>97</v>
      </c>
      <c r="G22" s="59">
        <v>5.7000000000000002E-2</v>
      </c>
    </row>
    <row r="24" spans="1:19" x14ac:dyDescent="0.2">
      <c r="F24" s="4" t="s">
        <v>17</v>
      </c>
      <c r="G24" s="3">
        <f>SUM(G17:G22)</f>
        <v>1.4694</v>
      </c>
    </row>
    <row r="26" spans="1:19" x14ac:dyDescent="0.2">
      <c r="H26" s="16"/>
    </row>
  </sheetData>
  <mergeCells count="19">
    <mergeCell ref="A2:A3"/>
    <mergeCell ref="B2:B3"/>
    <mergeCell ref="E14:G14"/>
    <mergeCell ref="Q14:S14"/>
    <mergeCell ref="Q15:Q16"/>
    <mergeCell ref="R15:R16"/>
    <mergeCell ref="A1:K1"/>
    <mergeCell ref="C2:K2"/>
    <mergeCell ref="M14:O14"/>
    <mergeCell ref="M15:M16"/>
    <mergeCell ref="N15:N16"/>
    <mergeCell ref="I14:K14"/>
    <mergeCell ref="E15:E16"/>
    <mergeCell ref="F15:F16"/>
    <mergeCell ref="A15:A16"/>
    <mergeCell ref="B15:B16"/>
    <mergeCell ref="A14:C14"/>
    <mergeCell ref="I15:I16"/>
    <mergeCell ref="J15:J16"/>
  </mergeCells>
  <dataValidations disablePrompts="1" count="1">
    <dataValidation type="list" allowBlank="1" showInputMessage="1" showErrorMessage="1" sqref="B21 E21:E22 M22 Q23 I21 I23" xr:uid="{00000000-0002-0000-0400-000000000000}">
      <formula1>Región</formula1>
    </dataValidation>
  </dataValidations>
  <pageMargins left="0.7" right="0.7" top="0.75" bottom="0.75" header="0.3" footer="0.3"/>
  <pageSetup orientation="portrait" r:id="rId1"/>
  <ignoredErrors>
    <ignoredError sqref="C22 H11 J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5"/>
  <sheetViews>
    <sheetView tabSelected="1" topLeftCell="D1" zoomScale="111" zoomScaleNormal="40" workbookViewId="0">
      <selection activeCell="L10" sqref="L10"/>
    </sheetView>
  </sheetViews>
  <sheetFormatPr baseColWidth="10" defaultColWidth="11.5" defaultRowHeight="15" x14ac:dyDescent="0.2"/>
  <cols>
    <col min="1" max="1" width="30.83203125" customWidth="1"/>
    <col min="2" max="4" width="15.83203125" customWidth="1"/>
    <col min="5" max="5" width="18.83203125" customWidth="1"/>
    <col min="6" max="6" width="15.83203125" customWidth="1"/>
    <col min="7" max="7" width="15.1640625" customWidth="1"/>
    <col min="9" max="9" width="22.5" customWidth="1"/>
    <col min="10" max="10" width="11.83203125" customWidth="1"/>
    <col min="11" max="11" width="20.1640625" bestFit="1" customWidth="1"/>
    <col min="13" max="13" width="22" customWidth="1"/>
    <col min="14" max="14" width="18.5" customWidth="1"/>
    <col min="15" max="15" width="16" customWidth="1"/>
    <col min="17" max="17" width="18.6640625" customWidth="1"/>
    <col min="18" max="18" width="16.5" customWidth="1"/>
    <col min="19" max="19" width="17.83203125" customWidth="1"/>
  </cols>
  <sheetData>
    <row r="1" spans="1:19" ht="27" customHeight="1" x14ac:dyDescent="0.2">
      <c r="A1" s="171" t="s">
        <v>42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9" x14ac:dyDescent="0.2">
      <c r="A2" s="171" t="s">
        <v>1</v>
      </c>
      <c r="B2" s="171" t="s">
        <v>44</v>
      </c>
      <c r="C2" s="171"/>
      <c r="D2" s="171"/>
      <c r="E2" s="171"/>
      <c r="F2" s="171"/>
      <c r="G2" s="171"/>
      <c r="H2" s="171"/>
      <c r="I2" s="171"/>
      <c r="J2" s="171"/>
      <c r="K2" s="113"/>
      <c r="L2" s="105"/>
      <c r="M2" s="78"/>
    </row>
    <row r="3" spans="1:19" x14ac:dyDescent="0.2">
      <c r="A3" s="171"/>
      <c r="B3" s="134">
        <v>2012</v>
      </c>
      <c r="C3" s="134">
        <v>2013</v>
      </c>
      <c r="D3" s="134">
        <v>2014</v>
      </c>
      <c r="E3" s="134">
        <v>2015</v>
      </c>
      <c r="F3" s="134">
        <v>2016</v>
      </c>
      <c r="G3" s="134">
        <v>2017</v>
      </c>
      <c r="H3" s="134">
        <v>2018</v>
      </c>
      <c r="I3" s="134">
        <v>2019</v>
      </c>
      <c r="J3" s="134">
        <v>2020</v>
      </c>
      <c r="K3" s="113"/>
      <c r="L3" s="105"/>
      <c r="M3" s="9"/>
    </row>
    <row r="4" spans="1:19" x14ac:dyDescent="0.2">
      <c r="A4" s="10" t="s">
        <v>19</v>
      </c>
      <c r="B4" s="12">
        <v>0.09</v>
      </c>
      <c r="C4" s="12">
        <v>0.09</v>
      </c>
      <c r="D4" s="12">
        <v>8.4000000000000005E-2</v>
      </c>
      <c r="E4" s="12">
        <v>8.4000000000000005E-2</v>
      </c>
      <c r="F4" s="12">
        <v>8.4000000000000005E-2</v>
      </c>
      <c r="G4" s="12">
        <v>7.6999999999999999E-2</v>
      </c>
      <c r="H4" s="12">
        <v>7.9000000000000001E-2</v>
      </c>
      <c r="I4" s="12">
        <v>7.3999999999999996E-2</v>
      </c>
      <c r="J4" s="12">
        <v>8.2000000000000003E-2</v>
      </c>
      <c r="K4" s="135"/>
      <c r="L4" s="116"/>
      <c r="M4" s="9"/>
    </row>
    <row r="5" spans="1:19" x14ac:dyDescent="0.2">
      <c r="A5" s="10" t="s">
        <v>3</v>
      </c>
      <c r="B5" s="12">
        <v>0.4</v>
      </c>
      <c r="C5" s="12">
        <v>0.4</v>
      </c>
      <c r="D5" s="12">
        <v>0.56999999999999995</v>
      </c>
      <c r="E5" s="12">
        <v>0.40948000000000001</v>
      </c>
      <c r="F5" s="12">
        <v>0.74399999999999999</v>
      </c>
      <c r="G5" s="12">
        <v>0.84400000000000008</v>
      </c>
      <c r="H5" s="12">
        <v>0.88026236033422101</v>
      </c>
      <c r="I5" s="12">
        <v>1.3726268642962429</v>
      </c>
      <c r="J5" s="12">
        <v>1.4950216499714613</v>
      </c>
      <c r="K5" s="135"/>
      <c r="L5" s="105"/>
      <c r="M5" s="79"/>
    </row>
    <row r="6" spans="1:19" x14ac:dyDescent="0.2">
      <c r="A6" s="10" t="s">
        <v>5</v>
      </c>
      <c r="B6" s="12">
        <v>0.01</v>
      </c>
      <c r="C6" s="12">
        <v>0.1</v>
      </c>
      <c r="D6" s="12">
        <v>0.127</v>
      </c>
      <c r="E6" s="12">
        <v>0.10199999999999999</v>
      </c>
      <c r="F6" s="12">
        <v>0.16800000000000001</v>
      </c>
      <c r="G6" s="12">
        <v>0.13300000000000001</v>
      </c>
      <c r="H6" s="12">
        <v>0.10351</v>
      </c>
      <c r="I6" s="12">
        <v>2.6449999999999998E-2</v>
      </c>
      <c r="J6" s="12" t="s">
        <v>47</v>
      </c>
      <c r="K6" s="135"/>
      <c r="L6" s="80"/>
      <c r="M6" s="80"/>
    </row>
    <row r="7" spans="1:19" x14ac:dyDescent="0.2">
      <c r="A7" s="10" t="s">
        <v>8</v>
      </c>
      <c r="B7" s="14">
        <v>2.0000000000000001E-4</v>
      </c>
      <c r="C7" s="14">
        <v>2.0000000000000001E-4</v>
      </c>
      <c r="D7" s="14">
        <v>2.0000000000000001E-4</v>
      </c>
      <c r="E7" s="12" t="s">
        <v>47</v>
      </c>
      <c r="F7" s="12" t="s">
        <v>47</v>
      </c>
      <c r="G7" s="12" t="s">
        <v>47</v>
      </c>
      <c r="H7" s="12" t="s">
        <v>47</v>
      </c>
      <c r="I7" s="14">
        <v>2.7116168311484303E-4</v>
      </c>
      <c r="J7" s="14">
        <v>2.7E-4</v>
      </c>
      <c r="K7" s="135"/>
      <c r="L7" s="80"/>
      <c r="M7" s="80"/>
    </row>
    <row r="8" spans="1:19" x14ac:dyDescent="0.2">
      <c r="A8" s="10" t="s">
        <v>10</v>
      </c>
      <c r="B8" s="12">
        <v>0.01</v>
      </c>
      <c r="C8" s="12">
        <v>0.01</v>
      </c>
      <c r="D8" s="12">
        <v>1.2999999999999999E-2</v>
      </c>
      <c r="E8" s="12">
        <v>1.4E-2</v>
      </c>
      <c r="F8" s="12">
        <v>8.3444712932857226E-2</v>
      </c>
      <c r="G8" s="12">
        <v>5.6130412897172695E-2</v>
      </c>
      <c r="H8" s="12">
        <v>2.8669409473250806E-2</v>
      </c>
      <c r="I8" s="12">
        <v>1.9612972723478474E-2</v>
      </c>
      <c r="J8" s="12">
        <v>3.9312087074500589E-2</v>
      </c>
      <c r="K8" s="135"/>
      <c r="L8" s="80"/>
      <c r="M8" s="80"/>
    </row>
    <row r="9" spans="1:19" x14ac:dyDescent="0.2">
      <c r="A9" s="10" t="s">
        <v>12</v>
      </c>
      <c r="B9" s="12" t="s">
        <v>47</v>
      </c>
      <c r="C9" s="12" t="s">
        <v>47</v>
      </c>
      <c r="D9" s="12">
        <v>1.2E-2</v>
      </c>
      <c r="E9" s="12">
        <v>3.2000000000000001E-2</v>
      </c>
      <c r="F9" s="12">
        <v>1.0304404472778789E-3</v>
      </c>
      <c r="G9" s="12" t="s">
        <v>47</v>
      </c>
      <c r="H9" s="12">
        <v>3.8818901042657603E-2</v>
      </c>
      <c r="I9" s="12">
        <v>0.11899211652961736</v>
      </c>
      <c r="J9" s="12">
        <v>0.46175535775273219</v>
      </c>
      <c r="K9" s="135"/>
      <c r="L9" s="80"/>
      <c r="M9" s="80"/>
    </row>
    <row r="10" spans="1:19" x14ac:dyDescent="0.2">
      <c r="A10" s="9"/>
      <c r="B10" s="9"/>
      <c r="C10" s="9"/>
      <c r="D10" s="9"/>
      <c r="E10" s="9"/>
      <c r="G10" s="73"/>
      <c r="H10" s="73"/>
    </row>
    <row r="11" spans="1:19" x14ac:dyDescent="0.2">
      <c r="A11" s="4" t="s">
        <v>17</v>
      </c>
      <c r="B11" s="2">
        <v>0.5</v>
      </c>
      <c r="C11" s="2">
        <v>0.6</v>
      </c>
      <c r="D11" s="3">
        <v>0.80619999999999992</v>
      </c>
      <c r="E11" s="3">
        <f t="shared" ref="E11:J11" si="0">SUM(E4:E9)</f>
        <v>0.64148000000000005</v>
      </c>
      <c r="F11" s="3">
        <f t="shared" si="0"/>
        <v>1.0804751533801351</v>
      </c>
      <c r="G11" s="53">
        <f t="shared" si="0"/>
        <v>1.1101304128971727</v>
      </c>
      <c r="H11" s="53">
        <f t="shared" si="0"/>
        <v>1.1302606708501293</v>
      </c>
      <c r="I11" s="53">
        <f t="shared" si="0"/>
        <v>1.6119531152324535</v>
      </c>
      <c r="J11" s="53">
        <f t="shared" si="0"/>
        <v>2.0783590947986941</v>
      </c>
    </row>
    <row r="13" spans="1:19" ht="30" customHeight="1" x14ac:dyDescent="0.2">
      <c r="A13" s="169" t="s">
        <v>83</v>
      </c>
      <c r="B13" s="169"/>
      <c r="C13" s="169"/>
      <c r="E13" s="169" t="s">
        <v>83</v>
      </c>
      <c r="F13" s="169"/>
      <c r="G13" s="169"/>
      <c r="I13" s="169" t="s">
        <v>83</v>
      </c>
      <c r="J13" s="169"/>
      <c r="K13" s="169"/>
      <c r="M13" s="169" t="s">
        <v>83</v>
      </c>
      <c r="N13" s="169"/>
      <c r="O13" s="169"/>
      <c r="Q13" s="169" t="s">
        <v>83</v>
      </c>
      <c r="R13" s="169"/>
      <c r="S13" s="169"/>
    </row>
    <row r="14" spans="1:19" x14ac:dyDescent="0.2">
      <c r="A14" s="177" t="s">
        <v>1</v>
      </c>
      <c r="B14" s="177" t="s">
        <v>77</v>
      </c>
      <c r="C14" s="99" t="s">
        <v>76</v>
      </c>
      <c r="E14" s="177" t="s">
        <v>1</v>
      </c>
      <c r="F14" s="177" t="s">
        <v>77</v>
      </c>
      <c r="G14" s="99" t="s">
        <v>76</v>
      </c>
      <c r="I14" s="177" t="s">
        <v>1</v>
      </c>
      <c r="J14" s="177" t="s">
        <v>77</v>
      </c>
      <c r="K14" s="99" t="s">
        <v>76</v>
      </c>
      <c r="M14" s="177" t="s">
        <v>1</v>
      </c>
      <c r="N14" s="177" t="s">
        <v>77</v>
      </c>
      <c r="O14" s="111" t="s">
        <v>76</v>
      </c>
      <c r="Q14" s="177" t="s">
        <v>1</v>
      </c>
      <c r="R14" s="177" t="s">
        <v>77</v>
      </c>
      <c r="S14" s="122" t="s">
        <v>76</v>
      </c>
    </row>
    <row r="15" spans="1:19" x14ac:dyDescent="0.2">
      <c r="A15" s="177"/>
      <c r="B15" s="177"/>
      <c r="C15" s="91">
        <v>2016</v>
      </c>
      <c r="D15" s="101"/>
      <c r="E15" s="178"/>
      <c r="F15" s="179"/>
      <c r="G15" s="91">
        <v>2017</v>
      </c>
      <c r="H15" s="101"/>
      <c r="I15" s="178"/>
      <c r="J15" s="179"/>
      <c r="K15" s="91">
        <v>2018</v>
      </c>
      <c r="M15" s="178"/>
      <c r="N15" s="179"/>
      <c r="O15" s="91">
        <v>2019</v>
      </c>
      <c r="Q15" s="178"/>
      <c r="R15" s="179"/>
      <c r="S15" s="91">
        <v>2020</v>
      </c>
    </row>
    <row r="16" spans="1:19" ht="24" x14ac:dyDescent="0.2">
      <c r="A16" s="1" t="s">
        <v>19</v>
      </c>
      <c r="B16" s="1" t="s">
        <v>52</v>
      </c>
      <c r="C16" s="95">
        <v>8.4000000000000005E-2</v>
      </c>
      <c r="D16" s="100"/>
      <c r="E16" s="92" t="s">
        <v>19</v>
      </c>
      <c r="F16" s="40" t="s">
        <v>52</v>
      </c>
      <c r="G16" s="103">
        <v>7.6999999999999999E-2</v>
      </c>
      <c r="H16" s="100"/>
      <c r="I16" s="1" t="s">
        <v>19</v>
      </c>
      <c r="J16" s="1" t="s">
        <v>52</v>
      </c>
      <c r="K16" s="15">
        <v>7.9000000000000001E-2</v>
      </c>
      <c r="M16" s="1" t="s">
        <v>19</v>
      </c>
      <c r="N16" s="1" t="s">
        <v>52</v>
      </c>
      <c r="O16" s="15">
        <v>7.3999999999999996E-2</v>
      </c>
      <c r="Q16" s="1" t="s">
        <v>19</v>
      </c>
      <c r="R16" s="1" t="s">
        <v>52</v>
      </c>
      <c r="S16" s="15">
        <v>8.1000000000000003E-2</v>
      </c>
    </row>
    <row r="17" spans="1:19" x14ac:dyDescent="0.2">
      <c r="A17" s="1" t="s">
        <v>3</v>
      </c>
      <c r="B17" s="1" t="s">
        <v>54</v>
      </c>
      <c r="C17" s="15">
        <v>2.1999999999999999E-2</v>
      </c>
      <c r="E17" s="81" t="s">
        <v>3</v>
      </c>
      <c r="F17" s="40" t="s">
        <v>53</v>
      </c>
      <c r="G17" s="82">
        <f>0.0152/1000</f>
        <v>1.52E-5</v>
      </c>
      <c r="I17" s="1" t="s">
        <v>3</v>
      </c>
      <c r="J17" s="1" t="s">
        <v>54</v>
      </c>
      <c r="K17" s="15">
        <v>9.8920000000000008E-2</v>
      </c>
      <c r="M17" s="1" t="s">
        <v>3</v>
      </c>
      <c r="N17" s="1" t="s">
        <v>54</v>
      </c>
      <c r="O17" s="15">
        <v>0.2248</v>
      </c>
      <c r="Q17" s="1" t="s">
        <v>3</v>
      </c>
      <c r="R17" s="1" t="s">
        <v>54</v>
      </c>
      <c r="S17" s="15">
        <v>0.28620000000000001</v>
      </c>
    </row>
    <row r="18" spans="1:19" x14ac:dyDescent="0.2">
      <c r="A18" s="1" t="s">
        <v>3</v>
      </c>
      <c r="B18" s="1" t="s">
        <v>56</v>
      </c>
      <c r="C18" s="15">
        <v>0.14499999999999999</v>
      </c>
      <c r="E18" s="81" t="s">
        <v>3</v>
      </c>
      <c r="F18" s="40" t="s">
        <v>54</v>
      </c>
      <c r="G18" s="57">
        <f>73.9/1000</f>
        <v>7.3900000000000007E-2</v>
      </c>
      <c r="I18" s="1" t="s">
        <v>3</v>
      </c>
      <c r="J18" s="1" t="s">
        <v>55</v>
      </c>
      <c r="K18" s="15">
        <v>1.7729999999999999E-2</v>
      </c>
      <c r="M18" s="1" t="s">
        <v>3</v>
      </c>
      <c r="N18" s="1" t="s">
        <v>55</v>
      </c>
      <c r="O18" s="15">
        <v>0.31530000000000002</v>
      </c>
      <c r="Q18" s="1" t="s">
        <v>3</v>
      </c>
      <c r="R18" s="1" t="s">
        <v>55</v>
      </c>
      <c r="S18" s="15">
        <v>0.2999</v>
      </c>
    </row>
    <row r="19" spans="1:19" x14ac:dyDescent="0.2">
      <c r="A19" s="1" t="s">
        <v>3</v>
      </c>
      <c r="B19" s="1" t="s">
        <v>59</v>
      </c>
      <c r="C19" s="15">
        <v>2.1000000000000001E-2</v>
      </c>
      <c r="E19" s="81" t="s">
        <v>3</v>
      </c>
      <c r="F19" s="40" t="s">
        <v>56</v>
      </c>
      <c r="G19" s="57">
        <f>193/1000</f>
        <v>0.193</v>
      </c>
      <c r="I19" s="1" t="s">
        <v>3</v>
      </c>
      <c r="J19" s="1" t="s">
        <v>56</v>
      </c>
      <c r="K19" s="15">
        <v>0.18196999999999999</v>
      </c>
      <c r="M19" s="1" t="s">
        <v>3</v>
      </c>
      <c r="N19" s="1" t="s">
        <v>56</v>
      </c>
      <c r="O19" s="15">
        <v>0.27979999999999999</v>
      </c>
      <c r="Q19" s="1" t="s">
        <v>3</v>
      </c>
      <c r="R19" s="1" t="s">
        <v>56</v>
      </c>
      <c r="S19" s="15">
        <v>0.38630000000000003</v>
      </c>
    </row>
    <row r="20" spans="1:19" x14ac:dyDescent="0.2">
      <c r="A20" s="1" t="s">
        <v>3</v>
      </c>
      <c r="B20" s="1" t="s">
        <v>81</v>
      </c>
      <c r="C20" s="15">
        <v>0.20399999999999999</v>
      </c>
      <c r="D20" s="27"/>
      <c r="E20" s="81" t="s">
        <v>3</v>
      </c>
      <c r="F20" s="40" t="s">
        <v>59</v>
      </c>
      <c r="G20" s="57">
        <v>0.02</v>
      </c>
      <c r="H20" s="27"/>
      <c r="I20" s="1" t="s">
        <v>3</v>
      </c>
      <c r="J20" s="1" t="s">
        <v>59</v>
      </c>
      <c r="K20" s="15">
        <v>1.8351217656012199E-2</v>
      </c>
      <c r="M20" s="1" t="s">
        <v>3</v>
      </c>
      <c r="N20" s="1" t="s">
        <v>81</v>
      </c>
      <c r="O20" s="15">
        <v>0.20768</v>
      </c>
      <c r="Q20" s="81" t="s">
        <v>3</v>
      </c>
      <c r="R20" s="40" t="s">
        <v>59</v>
      </c>
      <c r="S20" s="15">
        <v>2.179E-2</v>
      </c>
    </row>
    <row r="21" spans="1:19" x14ac:dyDescent="0.2">
      <c r="A21" s="1" t="s">
        <v>3</v>
      </c>
      <c r="B21" s="1" t="s">
        <v>78</v>
      </c>
      <c r="C21" s="15">
        <v>0.03</v>
      </c>
      <c r="E21" s="81" t="s">
        <v>3</v>
      </c>
      <c r="F21" s="40" t="s">
        <v>81</v>
      </c>
      <c r="G21" s="57">
        <f>199.031327705965/1000</f>
        <v>0.19903132770596499</v>
      </c>
      <c r="I21" s="1" t="s">
        <v>3</v>
      </c>
      <c r="J21" s="1" t="s">
        <v>81</v>
      </c>
      <c r="K21" s="15">
        <v>0.19500000000000001</v>
      </c>
      <c r="M21" s="1" t="s">
        <v>3</v>
      </c>
      <c r="N21" s="1" t="s">
        <v>78</v>
      </c>
      <c r="O21" s="15">
        <v>0.03</v>
      </c>
      <c r="Q21" s="1" t="s">
        <v>3</v>
      </c>
      <c r="R21" s="1" t="s">
        <v>81</v>
      </c>
      <c r="S21" s="15">
        <f>0.203</f>
        <v>0.20300000000000001</v>
      </c>
    </row>
    <row r="22" spans="1:19" x14ac:dyDescent="0.2">
      <c r="A22" s="1" t="s">
        <v>3</v>
      </c>
      <c r="B22" s="1" t="s">
        <v>82</v>
      </c>
      <c r="C22" s="15">
        <v>4.4999999999999998E-2</v>
      </c>
      <c r="E22" s="81" t="s">
        <v>3</v>
      </c>
      <c r="F22" s="81" t="s">
        <v>78</v>
      </c>
      <c r="G22" s="57">
        <v>3.1E-2</v>
      </c>
      <c r="I22" s="1" t="s">
        <v>3</v>
      </c>
      <c r="J22" s="1" t="s">
        <v>78</v>
      </c>
      <c r="K22" s="15">
        <v>0.03</v>
      </c>
      <c r="M22" s="1" t="s">
        <v>3</v>
      </c>
      <c r="N22" s="1" t="s">
        <v>82</v>
      </c>
      <c r="O22" s="15">
        <v>3.7554272512251602E-2</v>
      </c>
      <c r="Q22" s="1" t="s">
        <v>3</v>
      </c>
      <c r="R22" s="1" t="s">
        <v>78</v>
      </c>
      <c r="S22" s="15">
        <v>0.03</v>
      </c>
    </row>
    <row r="23" spans="1:19" x14ac:dyDescent="0.2">
      <c r="A23" s="1" t="s">
        <v>3</v>
      </c>
      <c r="B23" s="1" t="s">
        <v>62</v>
      </c>
      <c r="C23" s="15">
        <v>8.8999999999999996E-2</v>
      </c>
      <c r="E23" s="81" t="s">
        <v>3</v>
      </c>
      <c r="F23" s="81" t="s">
        <v>82</v>
      </c>
      <c r="G23" s="57">
        <f>35.72/1000</f>
        <v>3.5720000000000002E-2</v>
      </c>
      <c r="I23" s="1" t="s">
        <v>3</v>
      </c>
      <c r="J23" s="1" t="s">
        <v>82</v>
      </c>
      <c r="K23" s="15">
        <v>4.0439999999999997E-2</v>
      </c>
      <c r="M23" s="1" t="s">
        <v>3</v>
      </c>
      <c r="N23" s="1" t="s">
        <v>62</v>
      </c>
      <c r="O23" s="15">
        <v>8.6349999999999996E-2</v>
      </c>
      <c r="Q23" s="1" t="s">
        <v>3</v>
      </c>
      <c r="R23" s="1" t="s">
        <v>62</v>
      </c>
      <c r="S23" s="15">
        <v>8.4709999999999994E-2</v>
      </c>
    </row>
    <row r="24" spans="1:19" x14ac:dyDescent="0.2">
      <c r="A24" s="1" t="s">
        <v>3</v>
      </c>
      <c r="B24" s="1" t="s">
        <v>80</v>
      </c>
      <c r="C24" s="15">
        <v>0.188</v>
      </c>
      <c r="E24" s="81" t="s">
        <v>3</v>
      </c>
      <c r="F24" s="81" t="s">
        <v>62</v>
      </c>
      <c r="G24" s="57">
        <f>91.4/1000</f>
        <v>9.1400000000000009E-2</v>
      </c>
      <c r="I24" s="1" t="s">
        <v>3</v>
      </c>
      <c r="J24" s="1" t="s">
        <v>62</v>
      </c>
      <c r="K24" s="15">
        <v>8.2670000000000007E-2</v>
      </c>
      <c r="M24" s="1" t="s">
        <v>3</v>
      </c>
      <c r="N24" s="1" t="s">
        <v>57</v>
      </c>
      <c r="O24" s="15">
        <v>1.2999999999999999E-2</v>
      </c>
      <c r="Q24" s="1" t="s">
        <v>3</v>
      </c>
      <c r="R24" s="1" t="s">
        <v>53</v>
      </c>
      <c r="S24" s="114">
        <v>1E-4</v>
      </c>
    </row>
    <row r="25" spans="1:19" x14ac:dyDescent="0.2">
      <c r="A25" s="1" t="s">
        <v>5</v>
      </c>
      <c r="B25" s="1" t="s">
        <v>66</v>
      </c>
      <c r="C25" s="15">
        <v>0.16800000000000001</v>
      </c>
      <c r="E25" s="81" t="s">
        <v>3</v>
      </c>
      <c r="F25" s="81" t="s">
        <v>80</v>
      </c>
      <c r="G25" s="57">
        <v>0.2</v>
      </c>
      <c r="I25" s="1" t="s">
        <v>3</v>
      </c>
      <c r="J25" s="1" t="s">
        <v>57</v>
      </c>
      <c r="K25" s="15">
        <v>2.7300000000000001E-2</v>
      </c>
      <c r="M25" s="1" t="s">
        <v>3</v>
      </c>
      <c r="N25" s="1" t="s">
        <v>53</v>
      </c>
      <c r="O25" s="114">
        <v>1E-4</v>
      </c>
      <c r="Q25" s="1" t="s">
        <v>3</v>
      </c>
      <c r="R25" s="1" t="s">
        <v>80</v>
      </c>
      <c r="S25" s="15">
        <v>0.18302164997146098</v>
      </c>
    </row>
    <row r="26" spans="1:19" x14ac:dyDescent="0.2">
      <c r="A26" s="1" t="s">
        <v>10</v>
      </c>
      <c r="B26" s="1" t="s">
        <v>71</v>
      </c>
      <c r="C26" s="15">
        <v>1.0999999999999999E-2</v>
      </c>
      <c r="E26" s="81" t="s">
        <v>5</v>
      </c>
      <c r="F26" s="81" t="s">
        <v>66</v>
      </c>
      <c r="G26" s="57">
        <f>132.8/1000</f>
        <v>0.1328</v>
      </c>
      <c r="I26" s="1" t="s">
        <v>3</v>
      </c>
      <c r="J26" s="1" t="s">
        <v>53</v>
      </c>
      <c r="K26" s="114">
        <v>1E-4</v>
      </c>
      <c r="M26" s="1" t="s">
        <v>3</v>
      </c>
      <c r="N26" s="1" t="s">
        <v>80</v>
      </c>
      <c r="O26" s="15">
        <v>0.17804259178399301</v>
      </c>
      <c r="Q26" s="1" t="s">
        <v>8</v>
      </c>
      <c r="R26" s="1" t="s">
        <v>69</v>
      </c>
      <c r="S26" s="114">
        <v>2.7E-4</v>
      </c>
    </row>
    <row r="27" spans="1:19" ht="15" customHeight="1" x14ac:dyDescent="0.2">
      <c r="A27" s="1" t="s">
        <v>10</v>
      </c>
      <c r="B27" s="1" t="s">
        <v>74</v>
      </c>
      <c r="C27" s="15">
        <v>7.244471293285723E-2</v>
      </c>
      <c r="E27" s="81" t="s">
        <v>10</v>
      </c>
      <c r="F27" s="81" t="s">
        <v>71</v>
      </c>
      <c r="G27" s="57">
        <f>12.8/1000</f>
        <v>1.2800000000000001E-2</v>
      </c>
      <c r="I27" s="1" t="s">
        <v>3</v>
      </c>
      <c r="J27" s="1" t="s">
        <v>80</v>
      </c>
      <c r="K27" s="57">
        <v>0.187781142678209</v>
      </c>
      <c r="M27" s="1" t="s">
        <v>5</v>
      </c>
      <c r="N27" s="1" t="s">
        <v>66</v>
      </c>
      <c r="O27" s="15">
        <v>2.6449999999999998E-2</v>
      </c>
      <c r="Q27" s="1" t="s">
        <v>10</v>
      </c>
      <c r="R27" s="1" t="s">
        <v>70</v>
      </c>
      <c r="S27" s="114">
        <v>2.9999999999999997E-4</v>
      </c>
    </row>
    <row r="28" spans="1:19" ht="15" customHeight="1" x14ac:dyDescent="0.2">
      <c r="A28" s="1" t="s">
        <v>12</v>
      </c>
      <c r="B28" s="1" t="s">
        <v>74</v>
      </c>
      <c r="C28" s="15">
        <v>1.0304404472778789E-3</v>
      </c>
      <c r="E28" s="1" t="s">
        <v>10</v>
      </c>
      <c r="F28" s="1" t="s">
        <v>74</v>
      </c>
      <c r="G28" s="57">
        <v>4.3330412897172696E-2</v>
      </c>
      <c r="I28" s="1" t="s">
        <v>5</v>
      </c>
      <c r="J28" s="1" t="s">
        <v>66</v>
      </c>
      <c r="K28" s="57">
        <v>0.10351</v>
      </c>
      <c r="L28" s="105"/>
      <c r="M28" s="1" t="s">
        <v>8</v>
      </c>
      <c r="N28" s="1" t="s">
        <v>69</v>
      </c>
      <c r="O28" s="15">
        <v>2.7116168311484303E-4</v>
      </c>
      <c r="P28" s="105"/>
      <c r="Q28" s="1" t="s">
        <v>10</v>
      </c>
      <c r="R28" s="1" t="s">
        <v>71</v>
      </c>
      <c r="S28" s="15">
        <v>8.199999999999999E-3</v>
      </c>
    </row>
    <row r="29" spans="1:19" ht="15" customHeight="1" x14ac:dyDescent="0.2">
      <c r="A29" s="26"/>
      <c r="I29" s="1" t="s">
        <v>10</v>
      </c>
      <c r="J29" s="1" t="s">
        <v>71</v>
      </c>
      <c r="K29" s="57">
        <v>9.2200000000000008E-3</v>
      </c>
      <c r="M29" s="1" t="s">
        <v>10</v>
      </c>
      <c r="N29" s="1" t="s">
        <v>71</v>
      </c>
      <c r="O29" s="15">
        <v>1.103E-2</v>
      </c>
      <c r="P29" s="117"/>
      <c r="Q29" s="1" t="s">
        <v>10</v>
      </c>
      <c r="R29" s="1" t="s">
        <v>72</v>
      </c>
      <c r="S29" s="15">
        <v>2.3171580904675169E-2</v>
      </c>
    </row>
    <row r="30" spans="1:19" x14ac:dyDescent="0.2">
      <c r="B30" s="4" t="s">
        <v>17</v>
      </c>
      <c r="C30" s="3">
        <f>SUM(C16:C28)</f>
        <v>1.0804751533801351</v>
      </c>
      <c r="F30" s="4" t="s">
        <v>17</v>
      </c>
      <c r="G30" s="3">
        <f>SUM(G16:G29)</f>
        <v>1.1099969406031378</v>
      </c>
      <c r="I30" s="1" t="s">
        <v>10</v>
      </c>
      <c r="J30" s="65" t="s">
        <v>74</v>
      </c>
      <c r="K30" s="57">
        <v>1.9449409473250807E-2</v>
      </c>
      <c r="M30" s="1" t="s">
        <v>10</v>
      </c>
      <c r="N30" s="1" t="s">
        <v>74</v>
      </c>
      <c r="O30" s="15">
        <v>8.5829727234784745E-3</v>
      </c>
      <c r="P30" s="117"/>
      <c r="Q30" s="1" t="s">
        <v>10</v>
      </c>
      <c r="R30" s="1" t="s">
        <v>74</v>
      </c>
      <c r="S30" s="15">
        <v>7.9405061698254245E-3</v>
      </c>
    </row>
    <row r="31" spans="1:19" x14ac:dyDescent="0.2">
      <c r="I31" s="1" t="s">
        <v>12</v>
      </c>
      <c r="J31" s="1" t="s">
        <v>74</v>
      </c>
      <c r="K31" s="57">
        <v>3.8818901042657603E-2</v>
      </c>
      <c r="M31" s="1" t="s">
        <v>12</v>
      </c>
      <c r="N31" s="1" t="s">
        <v>74</v>
      </c>
      <c r="O31" s="15">
        <v>0.11899211652961736</v>
      </c>
      <c r="Q31" s="1" t="s">
        <v>12</v>
      </c>
      <c r="R31" s="1" t="s">
        <v>74</v>
      </c>
      <c r="S31" s="15">
        <v>0.46175535775273219</v>
      </c>
    </row>
    <row r="32" spans="1:19" x14ac:dyDescent="0.2">
      <c r="C32" s="151"/>
      <c r="G32" s="151"/>
    </row>
    <row r="33" spans="10:19" x14ac:dyDescent="0.2">
      <c r="J33" s="4" t="s">
        <v>17</v>
      </c>
      <c r="K33" s="3">
        <f>SUM(K16:K31)</f>
        <v>1.1302606708501299</v>
      </c>
      <c r="N33" s="4" t="s">
        <v>17</v>
      </c>
      <c r="O33" s="3">
        <f>SUM(O16:O31)</f>
        <v>1.6119531152324553</v>
      </c>
      <c r="R33" s="4" t="s">
        <v>17</v>
      </c>
      <c r="S33" s="3">
        <f>SUM(S16:S31)</f>
        <v>2.0776590947986939</v>
      </c>
    </row>
    <row r="35" spans="10:19" x14ac:dyDescent="0.2">
      <c r="K35" s="151"/>
      <c r="O35" s="151"/>
      <c r="S35" s="151"/>
    </row>
  </sheetData>
  <mergeCells count="18">
    <mergeCell ref="F14:F15"/>
    <mergeCell ref="A13:C13"/>
    <mergeCell ref="A14:A15"/>
    <mergeCell ref="B14:B15"/>
    <mergeCell ref="A2:A3"/>
    <mergeCell ref="A1:J1"/>
    <mergeCell ref="Q13:S13"/>
    <mergeCell ref="Q14:Q15"/>
    <mergeCell ref="R14:R15"/>
    <mergeCell ref="B2:J2"/>
    <mergeCell ref="M13:O13"/>
    <mergeCell ref="M14:M15"/>
    <mergeCell ref="N14:N15"/>
    <mergeCell ref="I13:K13"/>
    <mergeCell ref="I14:I15"/>
    <mergeCell ref="J14:J15"/>
    <mergeCell ref="E13:G13"/>
    <mergeCell ref="E14:E15"/>
  </mergeCells>
  <pageMargins left="0.7" right="0.7" top="0.75" bottom="0.75" header="0.3" footer="0.3"/>
  <pageSetup orientation="portrait" r:id="rId1"/>
  <ignoredErrors>
    <ignoredError sqref="G11 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Agua Superficial</vt:lpstr>
      <vt:lpstr>Agua Subterránea</vt:lpstr>
      <vt:lpstr>Aguas del Minero</vt:lpstr>
      <vt:lpstr>Agua Mar No Desalada</vt:lpstr>
      <vt:lpstr>Agua Mar Desalada</vt:lpstr>
      <vt:lpstr>Aguas Terceros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Cisternas</dc:creator>
  <cp:lastModifiedBy>Microsoft Office User</cp:lastModifiedBy>
  <dcterms:created xsi:type="dcterms:W3CDTF">2015-08-26T15:00:08Z</dcterms:created>
  <dcterms:modified xsi:type="dcterms:W3CDTF">2022-02-05T13:19:55Z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