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/Users/adrian/Desktop/"/>
    </mc:Choice>
  </mc:AlternateContent>
  <xr:revisionPtr revIDLastSave="0" documentId="13_ncr:1_{7939AB77-012E-0246-B2F8-E099BA6D2265}" xr6:coauthVersionLast="45" xr6:coauthVersionMax="45" xr10:uidLastSave="{00000000-0000-0000-0000-000000000000}"/>
  <bookViews>
    <workbookView xWindow="0" yWindow="460" windowWidth="28800" windowHeight="15840" activeTab="2" xr2:uid="{DF3745FC-C1CC-4188-B413-A39FE6E867DA}"/>
  </bookViews>
  <sheets>
    <sheet name="Agua Superficial" sheetId="1" r:id="rId1"/>
    <sheet name="Agua Subterránea" sheetId="2" r:id="rId2"/>
    <sheet name="Aguas Mina" sheetId="3" r:id="rId3"/>
    <sheet name="Agua Mar No Desalada" sheetId="4" r:id="rId4"/>
    <sheet name="Agua Mar Desalada" sheetId="5" r:id="rId5"/>
    <sheet name="Aguas Terceros" sheetId="6" r:id="rId6"/>
  </sheets>
  <definedNames>
    <definedName name="Regió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2" i="6" l="1"/>
  <c r="M33" i="1" l="1"/>
  <c r="H11" i="6" l="1"/>
  <c r="I11" i="5"/>
  <c r="I8" i="4"/>
  <c r="I22" i="3" l="1"/>
  <c r="K46" i="3"/>
  <c r="I27" i="2"/>
  <c r="K56" i="2"/>
  <c r="M69" i="1" l="1"/>
  <c r="M68" i="1"/>
  <c r="M67" i="1"/>
  <c r="M66" i="1"/>
  <c r="M65" i="1"/>
  <c r="M64" i="1"/>
  <c r="M63" i="1"/>
  <c r="M62" i="1"/>
  <c r="M61" i="1"/>
  <c r="M60" i="1"/>
  <c r="M71" i="1" l="1"/>
  <c r="G8" i="4"/>
  <c r="H8" i="4"/>
  <c r="C34" i="1"/>
  <c r="K21" i="5" l="1"/>
  <c r="E17" i="4"/>
  <c r="H26" i="1"/>
  <c r="H25" i="1"/>
  <c r="H23" i="1"/>
  <c r="H22" i="1"/>
  <c r="H21" i="1"/>
  <c r="I16" i="1"/>
  <c r="H22" i="3" l="1"/>
  <c r="G56" i="2"/>
  <c r="H27" i="2"/>
  <c r="C58" i="2"/>
  <c r="G27" i="2" l="1"/>
  <c r="G11" i="6"/>
  <c r="G60" i="2"/>
  <c r="C28" i="6"/>
  <c r="F11" i="6"/>
  <c r="G34" i="3"/>
  <c r="G33" i="3"/>
  <c r="G31" i="3"/>
  <c r="G30" i="3"/>
  <c r="G29" i="3"/>
  <c r="C44" i="3"/>
  <c r="G22" i="3"/>
  <c r="G27" i="6" l="1"/>
  <c r="G26" i="6"/>
  <c r="G25" i="6"/>
  <c r="G24" i="6"/>
  <c r="G23" i="6"/>
  <c r="G21" i="6"/>
  <c r="G19" i="6"/>
  <c r="G18" i="6"/>
  <c r="G17" i="6"/>
  <c r="G23" i="5"/>
  <c r="H11" i="5"/>
  <c r="D15" i="4"/>
  <c r="D13" i="4"/>
  <c r="F8" i="4"/>
  <c r="G45" i="3"/>
  <c r="G43" i="3"/>
  <c r="G42" i="3"/>
  <c r="G41" i="3"/>
  <c r="G39" i="3"/>
  <c r="G38" i="3"/>
  <c r="G36" i="3"/>
  <c r="G32" i="3"/>
  <c r="H33" i="1"/>
  <c r="H31" i="1"/>
  <c r="H30" i="1"/>
  <c r="H29" i="1"/>
  <c r="H28" i="1"/>
  <c r="H16" i="1"/>
  <c r="H35" i="1" l="1"/>
  <c r="D17" i="4"/>
  <c r="G47" i="3"/>
  <c r="G30" i="6"/>
  <c r="C17" i="4"/>
  <c r="G16" i="1"/>
  <c r="E11" i="6" l="1"/>
  <c r="C11" i="4" l="1"/>
  <c r="E8" i="4"/>
  <c r="G11" i="5" l="1"/>
  <c r="C21" i="5"/>
  <c r="C16" i="1"/>
  <c r="D16" i="1"/>
  <c r="E16" i="1"/>
  <c r="F16" i="1"/>
  <c r="E22" i="3" l="1"/>
  <c r="F22" i="3"/>
  <c r="E27" i="2"/>
  <c r="F27" i="2"/>
  <c r="E11" i="5"/>
  <c r="F11" i="5"/>
</calcChain>
</file>

<file path=xl/sharedStrings.xml><?xml version="1.0" encoding="utf-8"?>
<sst xmlns="http://schemas.openxmlformats.org/spreadsheetml/2006/main" count="810" uniqueCount="102">
  <si>
    <t>EXTRACCIÓN DE AGUA SUPERFICIAL POR CUENCA</t>
  </si>
  <si>
    <t>Región</t>
  </si>
  <si>
    <t>Cuenca</t>
  </si>
  <si>
    <t>Región de Antofagasta</t>
  </si>
  <si>
    <t>Río Loa</t>
  </si>
  <si>
    <t>Región de Atacama</t>
  </si>
  <si>
    <t>Río Copiapó</t>
  </si>
  <si>
    <t>Pedernales</t>
  </si>
  <si>
    <t>Región de Coquimbo</t>
  </si>
  <si>
    <t>Río Choapa</t>
  </si>
  <si>
    <t>Región de Valparaíso</t>
  </si>
  <si>
    <t>Río Aconcagua</t>
  </si>
  <si>
    <t>Región Metropolitana</t>
  </si>
  <si>
    <t>Río Maipo-Río Mapocho</t>
  </si>
  <si>
    <t>Rio Rapel</t>
  </si>
  <si>
    <t>Región del Lib. General Bernardo O'Higgins</t>
  </si>
  <si>
    <t>Rio Cachapoal</t>
  </si>
  <si>
    <t>Total</t>
  </si>
  <si>
    <t>EXTRACCIÓN DE AGUA SUBTERRÁNEA POR CUENCA</t>
  </si>
  <si>
    <t>Región de Tarapacá</t>
  </si>
  <si>
    <t>Lagunillas</t>
  </si>
  <si>
    <t>Coposa</t>
  </si>
  <si>
    <t>Michincha</t>
  </si>
  <si>
    <t>Salar de Ascotán</t>
  </si>
  <si>
    <t>Salar de Atacama</t>
  </si>
  <si>
    <t>Salar de Punta Negra</t>
  </si>
  <si>
    <t>Monturaqui</t>
  </si>
  <si>
    <t>Quebrada La Negra</t>
  </si>
  <si>
    <t>Peñón</t>
  </si>
  <si>
    <t>Salar de Maricunga</t>
  </si>
  <si>
    <t>Río Salado</t>
  </si>
  <si>
    <t>Río Elqui</t>
  </si>
  <si>
    <t>Costeras entre La Ligua y Río Aconcagua</t>
  </si>
  <si>
    <t>EXTRACCIÓN DE AGUA MINA POR CUENCA</t>
  </si>
  <si>
    <t>Huinquintipa</t>
  </si>
  <si>
    <t>Hamburgo</t>
  </si>
  <si>
    <t>Falla Mantoverde</t>
  </si>
  <si>
    <t>Río Maipo</t>
  </si>
  <si>
    <t>Sector/Bahía</t>
  </si>
  <si>
    <t>Michilla</t>
  </si>
  <si>
    <t>Mejillones</t>
  </si>
  <si>
    <t>Puerto Coloso</t>
  </si>
  <si>
    <t>Bahía Flamenco</t>
  </si>
  <si>
    <t>ADQUISICIÓN DE AGUA A TERCEROS POR REGIÓN</t>
  </si>
  <si>
    <t>Quebrada Blanca</t>
  </si>
  <si>
    <r>
      <t>Caudal (m</t>
    </r>
    <r>
      <rPr>
        <b/>
        <vertAlign val="superscript"/>
        <sz val="8"/>
        <color theme="0"/>
        <rFont val="Arial"/>
        <family val="2"/>
      </rPr>
      <t>3</t>
    </r>
    <r>
      <rPr>
        <b/>
        <sz val="8"/>
        <color theme="0"/>
        <rFont val="Arial"/>
        <family val="2"/>
      </rPr>
      <t>/s)</t>
    </r>
  </si>
  <si>
    <t>Región del Lib. Bernardo O'Higgins</t>
  </si>
  <si>
    <t>Río Cachapoal</t>
  </si>
  <si>
    <t>-</t>
  </si>
  <si>
    <t>Quebrada Tamas</t>
  </si>
  <si>
    <t>EXTRACCIÓN DE AGUA DE MAR NO DESALADA POR SECTOR/BAHÍA</t>
  </si>
  <si>
    <t>OBTENCIÓN DE AGUA DE MAR DESALADA POR SECTOR/BAHÍA</t>
  </si>
  <si>
    <t>Punta Padrones</t>
  </si>
  <si>
    <t>Cerro Colorado</t>
  </si>
  <si>
    <t>Doña Inés de Collahuasi</t>
  </si>
  <si>
    <t>El Abra</t>
  </si>
  <si>
    <t>Chuquicamata</t>
  </si>
  <si>
    <t>Radomiro Tomic</t>
  </si>
  <si>
    <t>Ministro Hales</t>
  </si>
  <si>
    <t>Centinela</t>
  </si>
  <si>
    <t>Gabriela Mistral</t>
  </si>
  <si>
    <t>Lomas Bayas</t>
  </si>
  <si>
    <t>Zaldívar</t>
  </si>
  <si>
    <t>Escondida</t>
  </si>
  <si>
    <t>Altonorte</t>
  </si>
  <si>
    <t>Salvador</t>
  </si>
  <si>
    <t>Maricunga</t>
  </si>
  <si>
    <t>Ojos del Salado</t>
  </si>
  <si>
    <t>Candelaria</t>
  </si>
  <si>
    <t>Caserones</t>
  </si>
  <si>
    <t xml:space="preserve">Carmen de Andacollo </t>
  </si>
  <si>
    <t>Los Pelambres</t>
  </si>
  <si>
    <t>Andina</t>
  </si>
  <si>
    <t>Ventanas</t>
  </si>
  <si>
    <t>El Soldado</t>
  </si>
  <si>
    <t>Chagres</t>
  </si>
  <si>
    <t>Los Bronces</t>
  </si>
  <si>
    <t>El Teniente</t>
  </si>
  <si>
    <t>Caudal (m3/s)</t>
  </si>
  <si>
    <t>Empresa</t>
  </si>
  <si>
    <t>Sierra Gorda</t>
  </si>
  <si>
    <t>Carmén de Andacollo</t>
  </si>
  <si>
    <t>Antucoya</t>
  </si>
  <si>
    <t>Spence</t>
  </si>
  <si>
    <t>Franke</t>
  </si>
  <si>
    <t>ADQUISICIÓN DE AGUA A TERCEROS POR EMPRESA</t>
  </si>
  <si>
    <t>EXTRACCIÓN DE AGUA SUPERFICIAL POR FAENA</t>
  </si>
  <si>
    <t>Faena</t>
  </si>
  <si>
    <t>EXTRACCIÓN DE AGUA SUBTERRÁNEA POR FAENA</t>
  </si>
  <si>
    <t>EXTRACCIÓN DE AGUA MINA POR FAENA</t>
  </si>
  <si>
    <t>EXTRACCIÓN DE AGUA DE MAR NO DESALADA POR FAENA</t>
  </si>
  <si>
    <t>OBTENCIÓN DE AGUA DE MAR DESALADA POR FAENA</t>
  </si>
  <si>
    <t>Region de Atacama</t>
  </si>
  <si>
    <t>Rio Huasco</t>
  </si>
  <si>
    <t>Planta de Pellets</t>
  </si>
  <si>
    <t>Los Colorados</t>
  </si>
  <si>
    <t>Planta Magnetita - CMP</t>
  </si>
  <si>
    <t>Planta Pellets - CMP</t>
  </si>
  <si>
    <t>Región del L. Gral. Bernardo O'Higgins</t>
  </si>
  <si>
    <t>Punta Totoralillo</t>
  </si>
  <si>
    <t>Cerro Negro Norte - CMP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</si>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</sst>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.0"/>
    <numFmt numFmtId="165" formatCode="#,##0.000"/>
    <numFmt numFmtId="166" formatCode="#,##0.0000"/>
    <numFmt numFmtId="167" formatCode="0.000"/>
    <numFmt numFmtId="168" formatCode="_-* #,##0_-;\-* #,##0_-;_-* &quot;-&quot;??_-;_-@_-"/>
    <numFmt numFmtId="169" formatCode="0.00000"/>
    <numFmt numFmtId="170" formatCode="#,##0.00000"/>
  </numFmts>
  <fonts count="20" x14ac:knownFonts="1"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rgb="FF25406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vertAlign val="superscript"/>
      <sz val="8"/>
      <color theme="0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10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b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8"/>
      <name val="Calibri"/>
      <family val="2"/>
      <scheme val="minor"/>
    </font>
    <font>
      <sz val="9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C2D69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70AD47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8" tint="-0.499984740745262"/>
        <bgColor rgb="FF000000"/>
      </patternFill>
    </fill>
  </fills>
  <borders count="3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FFFFFF"/>
      </left>
      <right/>
      <top style="thin">
        <color theme="0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theme="0"/>
      </bottom>
      <diagonal/>
    </border>
    <border>
      <left/>
      <right style="thin">
        <color theme="0"/>
      </right>
      <top style="thin">
        <color rgb="FFFFFFFF"/>
      </top>
      <bottom style="thin">
        <color theme="0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 style="thin">
        <color theme="0"/>
      </top>
      <bottom style="thin">
        <color theme="0"/>
      </bottom>
      <diagonal/>
    </border>
    <border>
      <left/>
      <right style="thin">
        <color rgb="FFFFFFFF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05">
    <xf numFmtId="0" fontId="0" fillId="0" borderId="0" xfId="0"/>
    <xf numFmtId="3" fontId="2" fillId="2" borderId="2" xfId="0" applyNumberFormat="1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right" vertical="center" wrapText="1"/>
    </xf>
    <xf numFmtId="165" fontId="2" fillId="2" borderId="3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0" xfId="0" applyFont="1" applyBorder="1"/>
    <xf numFmtId="164" fontId="4" fillId="0" borderId="0" xfId="0" applyNumberFormat="1" applyFont="1" applyBorder="1"/>
    <xf numFmtId="0" fontId="0" fillId="0" borderId="0" xfId="0" applyBorder="1"/>
    <xf numFmtId="3" fontId="2" fillId="2" borderId="1" xfId="0" applyNumberFormat="1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167" fontId="2" fillId="2" borderId="2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3" fontId="2" fillId="2" borderId="3" xfId="0" applyNumberFormat="1" applyFont="1" applyFill="1" applyBorder="1" applyAlignment="1">
      <alignment horizontal="right" vertical="center" wrapText="1"/>
    </xf>
    <xf numFmtId="1" fontId="6" fillId="5" borderId="2" xfId="0" applyNumberFormat="1" applyFont="1" applyFill="1" applyBorder="1" applyAlignment="1">
      <alignment horizontal="center" vertical="center" wrapText="1"/>
    </xf>
    <xf numFmtId="167" fontId="7" fillId="0" borderId="5" xfId="0" applyNumberFormat="1" applyFont="1" applyFill="1" applyBorder="1"/>
    <xf numFmtId="0" fontId="6" fillId="5" borderId="2" xfId="0" applyFont="1" applyFill="1" applyBorder="1" applyAlignment="1">
      <alignment vertical="center" wrapText="1"/>
    </xf>
    <xf numFmtId="0" fontId="7" fillId="0" borderId="2" xfId="0" applyFont="1" applyFill="1" applyBorder="1"/>
    <xf numFmtId="0" fontId="6" fillId="5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0" fontId="9" fillId="0" borderId="2" xfId="0" applyFont="1" applyFill="1" applyBorder="1"/>
    <xf numFmtId="167" fontId="9" fillId="0" borderId="2" xfId="0" applyNumberFormat="1" applyFont="1" applyFill="1" applyBorder="1"/>
    <xf numFmtId="0" fontId="11" fillId="0" borderId="0" xfId="0" applyFont="1"/>
    <xf numFmtId="43" fontId="11" fillId="0" borderId="0" xfId="1" applyFont="1"/>
    <xf numFmtId="168" fontId="11" fillId="0" borderId="0" xfId="1" applyNumberFormat="1" applyFont="1"/>
    <xf numFmtId="168" fontId="11" fillId="0" borderId="0" xfId="0" applyNumberFormat="1" applyFont="1"/>
    <xf numFmtId="43" fontId="11" fillId="0" borderId="0" xfId="0" applyNumberFormat="1" applyFont="1"/>
    <xf numFmtId="0" fontId="1" fillId="4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3" fontId="2" fillId="7" borderId="2" xfId="0" applyNumberFormat="1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horizontal="center" vertical="center" wrapText="1"/>
    </xf>
    <xf numFmtId="167" fontId="2" fillId="7" borderId="2" xfId="0" applyNumberFormat="1" applyFont="1" applyFill="1" applyBorder="1" applyAlignment="1">
      <alignment horizontal="center" vertical="center" wrapText="1"/>
    </xf>
    <xf numFmtId="165" fontId="2" fillId="2" borderId="18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3" fontId="2" fillId="7" borderId="1" xfId="0" applyNumberFormat="1" applyFont="1" applyFill="1" applyBorder="1" applyAlignment="1">
      <alignment horizontal="left" vertical="center" wrapText="1"/>
    </xf>
    <xf numFmtId="165" fontId="2" fillId="7" borderId="2" xfId="0" applyNumberFormat="1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3" fontId="13" fillId="7" borderId="2" xfId="0" applyNumberFormat="1" applyFont="1" applyFill="1" applyBorder="1" applyAlignment="1">
      <alignment horizontal="left" vertical="center" wrapText="1"/>
    </xf>
    <xf numFmtId="3" fontId="13" fillId="7" borderId="1" xfId="0" applyNumberFormat="1" applyFont="1" applyFill="1" applyBorder="1" applyAlignment="1">
      <alignment horizontal="left" vertical="center" wrapText="1"/>
    </xf>
    <xf numFmtId="165" fontId="13" fillId="7" borderId="1" xfId="0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left" vertical="center"/>
    </xf>
    <xf numFmtId="0" fontId="13" fillId="6" borderId="1" xfId="0" applyFont="1" applyFill="1" applyBorder="1" applyAlignment="1">
      <alignment horizontal="center" vertical="center"/>
    </xf>
    <xf numFmtId="165" fontId="13" fillId="6" borderId="1" xfId="0" applyNumberFormat="1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vertical="center"/>
    </xf>
    <xf numFmtId="0" fontId="14" fillId="0" borderId="0" xfId="0" applyFont="1"/>
    <xf numFmtId="0" fontId="13" fillId="6" borderId="1" xfId="0" applyFont="1" applyFill="1" applyBorder="1" applyAlignment="1">
      <alignment horizontal="right"/>
    </xf>
    <xf numFmtId="165" fontId="13" fillId="6" borderId="1" xfId="0" applyNumberFormat="1" applyFont="1" applyFill="1" applyBorder="1" applyAlignment="1">
      <alignment horizontal="center"/>
    </xf>
    <xf numFmtId="3" fontId="13" fillId="2" borderId="2" xfId="0" applyNumberFormat="1" applyFont="1" applyFill="1" applyBorder="1" applyAlignment="1">
      <alignment horizontal="left" vertical="center" wrapText="1"/>
    </xf>
    <xf numFmtId="164" fontId="13" fillId="2" borderId="2" xfId="0" applyNumberFormat="1" applyFont="1" applyFill="1" applyBorder="1" applyAlignment="1">
      <alignment horizontal="center" vertical="center" wrapText="1"/>
    </xf>
    <xf numFmtId="165" fontId="13" fillId="2" borderId="2" xfId="0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/>
    </xf>
    <xf numFmtId="4" fontId="13" fillId="2" borderId="2" xfId="0" applyNumberFormat="1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 wrapText="1"/>
    </xf>
    <xf numFmtId="3" fontId="13" fillId="2" borderId="23" xfId="0" applyNumberFormat="1" applyFont="1" applyFill="1" applyBorder="1" applyAlignment="1">
      <alignment horizontal="left" vertical="center" wrapText="1"/>
    </xf>
    <xf numFmtId="165" fontId="13" fillId="2" borderId="3" xfId="0" applyNumberFormat="1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right" vertical="center" wrapText="1"/>
    </xf>
    <xf numFmtId="165" fontId="13" fillId="6" borderId="0" xfId="0" applyNumberFormat="1" applyFont="1" applyFill="1" applyAlignment="1">
      <alignment horizontal="center"/>
    </xf>
    <xf numFmtId="167" fontId="13" fillId="7" borderId="2" xfId="0" applyNumberFormat="1" applyFont="1" applyFill="1" applyBorder="1" applyAlignment="1">
      <alignment horizontal="center" vertical="center" wrapText="1"/>
    </xf>
    <xf numFmtId="0" fontId="13" fillId="6" borderId="0" xfId="0" applyFont="1" applyFill="1" applyAlignment="1">
      <alignment horizontal="left" vertical="center"/>
    </xf>
    <xf numFmtId="167" fontId="13" fillId="6" borderId="1" xfId="0" applyNumberFormat="1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 wrapText="1"/>
    </xf>
    <xf numFmtId="0" fontId="13" fillId="6" borderId="1" xfId="0" applyFont="1" applyFill="1" applyBorder="1"/>
    <xf numFmtId="0" fontId="13" fillId="6" borderId="0" xfId="0" applyFont="1" applyFill="1"/>
    <xf numFmtId="0" fontId="0" fillId="0" borderId="0" xfId="0" applyFill="1"/>
    <xf numFmtId="0" fontId="15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3" fillId="0" borderId="0" xfId="0" applyFont="1" applyFill="1" applyBorder="1"/>
    <xf numFmtId="0" fontId="15" fillId="0" borderId="0" xfId="0" applyFont="1" applyFill="1" applyBorder="1"/>
    <xf numFmtId="167" fontId="13" fillId="6" borderId="0" xfId="0" applyNumberFormat="1" applyFont="1" applyFill="1" applyAlignment="1">
      <alignment horizontal="center" vertical="center"/>
    </xf>
    <xf numFmtId="3" fontId="13" fillId="7" borderId="0" xfId="0" applyNumberFormat="1" applyFont="1" applyFill="1" applyBorder="1" applyAlignment="1">
      <alignment horizontal="right" vertical="center" wrapText="1"/>
    </xf>
    <xf numFmtId="3" fontId="2" fillId="2" borderId="18" xfId="0" applyNumberFormat="1" applyFont="1" applyFill="1" applyBorder="1" applyAlignment="1">
      <alignment horizontal="left" vertical="center" wrapText="1"/>
    </xf>
    <xf numFmtId="3" fontId="2" fillId="2" borderId="3" xfId="0" applyNumberFormat="1" applyFont="1" applyFill="1" applyBorder="1" applyAlignment="1">
      <alignment horizontal="left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165" fontId="2" fillId="2" borderId="24" xfId="0" applyNumberFormat="1" applyFont="1" applyFill="1" applyBorder="1" applyAlignment="1">
      <alignment horizontal="center" vertical="center" wrapText="1"/>
    </xf>
    <xf numFmtId="0" fontId="4" fillId="0" borderId="4" xfId="0" applyFont="1" applyBorder="1"/>
    <xf numFmtId="164" fontId="4" fillId="0" borderId="4" xfId="0" applyNumberFormat="1" applyFont="1" applyBorder="1"/>
    <xf numFmtId="0" fontId="0" fillId="0" borderId="4" xfId="0" applyBorder="1"/>
    <xf numFmtId="3" fontId="13" fillId="2" borderId="1" xfId="0" applyNumberFormat="1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0" fontId="13" fillId="6" borderId="1" xfId="0" quotePrefix="1" applyNumberFormat="1" applyFont="1" applyFill="1" applyBorder="1" applyAlignment="1">
      <alignment horizontal="center" vertical="center"/>
    </xf>
    <xf numFmtId="165" fontId="13" fillId="6" borderId="12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0" fontId="9" fillId="0" borderId="23" xfId="0" applyFont="1" applyFill="1" applyBorder="1"/>
    <xf numFmtId="164" fontId="2" fillId="2" borderId="3" xfId="0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/>
    </xf>
    <xf numFmtId="0" fontId="8" fillId="0" borderId="26" xfId="0" applyFont="1" applyFill="1" applyBorder="1" applyAlignment="1">
      <alignment vertical="center"/>
    </xf>
    <xf numFmtId="0" fontId="0" fillId="3" borderId="0" xfId="0" applyFill="1" applyBorder="1"/>
    <xf numFmtId="0" fontId="12" fillId="3" borderId="0" xfId="0" applyFont="1" applyFill="1" applyBorder="1"/>
    <xf numFmtId="0" fontId="1" fillId="4" borderId="25" xfId="0" applyFont="1" applyFill="1" applyBorder="1" applyAlignment="1">
      <alignment horizontal="center" vertical="center" wrapText="1"/>
    </xf>
    <xf numFmtId="165" fontId="2" fillId="2" borderId="8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3" fontId="2" fillId="7" borderId="18" xfId="0" applyNumberFormat="1" applyFont="1" applyFill="1" applyBorder="1" applyAlignment="1">
      <alignment horizontal="left" vertical="center" wrapText="1"/>
    </xf>
    <xf numFmtId="169" fontId="13" fillId="7" borderId="2" xfId="0" applyNumberFormat="1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left" vertical="center" wrapText="1"/>
    </xf>
    <xf numFmtId="167" fontId="13" fillId="2" borderId="2" xfId="0" applyNumberFormat="1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3" fontId="13" fillId="2" borderId="7" xfId="0" applyNumberFormat="1" applyFont="1" applyFill="1" applyBorder="1" applyAlignment="1">
      <alignment horizontal="left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164" fontId="13" fillId="3" borderId="4" xfId="0" applyNumberFormat="1" applyFont="1" applyFill="1" applyBorder="1"/>
    <xf numFmtId="0" fontId="13" fillId="0" borderId="1" xfId="0" applyFont="1" applyBorder="1"/>
    <xf numFmtId="167" fontId="13" fillId="6" borderId="0" xfId="0" applyNumberFormat="1" applyFont="1" applyFill="1" applyAlignment="1">
      <alignment horizontal="center"/>
    </xf>
    <xf numFmtId="0" fontId="1" fillId="4" borderId="22" xfId="0" applyFont="1" applyFill="1" applyBorder="1" applyAlignment="1">
      <alignment horizontal="center" vertical="center" wrapText="1"/>
    </xf>
    <xf numFmtId="167" fontId="0" fillId="0" borderId="0" xfId="0" applyNumberFormat="1" applyAlignment="1">
      <alignment horizontal="center"/>
    </xf>
    <xf numFmtId="165" fontId="13" fillId="7" borderId="18" xfId="0" applyNumberFormat="1" applyFont="1" applyFill="1" applyBorder="1" applyAlignment="1">
      <alignment horizontal="center" vertical="center" wrapText="1"/>
    </xf>
    <xf numFmtId="3" fontId="13" fillId="7" borderId="5" xfId="0" applyNumberFormat="1" applyFont="1" applyFill="1" applyBorder="1" applyAlignment="1">
      <alignment horizontal="left" vertical="center" wrapText="1"/>
    </xf>
    <xf numFmtId="1" fontId="6" fillId="5" borderId="18" xfId="0" applyNumberFormat="1" applyFont="1" applyFill="1" applyBorder="1" applyAlignment="1">
      <alignment horizontal="center" vertical="center" wrapText="1"/>
    </xf>
    <xf numFmtId="3" fontId="2" fillId="7" borderId="26" xfId="0" applyNumberFormat="1" applyFont="1" applyFill="1" applyBorder="1" applyAlignment="1">
      <alignment horizontal="left" vertical="center" wrapText="1"/>
    </xf>
    <xf numFmtId="167" fontId="2" fillId="2" borderId="18" xfId="0" applyNumberFormat="1" applyFont="1" applyFill="1" applyBorder="1" applyAlignment="1">
      <alignment horizontal="center" vertical="center" wrapText="1"/>
    </xf>
    <xf numFmtId="3" fontId="2" fillId="7" borderId="5" xfId="0" applyNumberFormat="1" applyFont="1" applyFill="1" applyBorder="1" applyAlignment="1">
      <alignment horizontal="left" vertical="center" wrapText="1"/>
    </xf>
    <xf numFmtId="167" fontId="2" fillId="7" borderId="18" xfId="0" applyNumberFormat="1" applyFont="1" applyFill="1" applyBorder="1" applyAlignment="1">
      <alignment horizontal="center" vertical="center" wrapText="1"/>
    </xf>
    <xf numFmtId="165" fontId="13" fillId="7" borderId="8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165" fontId="13" fillId="6" borderId="8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7" fontId="0" fillId="0" borderId="0" xfId="0" applyNumberFormat="1" applyBorder="1"/>
    <xf numFmtId="165" fontId="13" fillId="6" borderId="18" xfId="0" applyNumberFormat="1" applyFont="1" applyFill="1" applyBorder="1" applyAlignment="1">
      <alignment horizontal="center" vertical="center" wrapText="1"/>
    </xf>
    <xf numFmtId="0" fontId="11" fillId="0" borderId="0" xfId="0" applyFont="1" applyBorder="1"/>
    <xf numFmtId="167" fontId="0" fillId="0" borderId="0" xfId="0" applyNumberFormat="1" applyBorder="1" applyAlignment="1">
      <alignment horizontal="center"/>
    </xf>
    <xf numFmtId="167" fontId="13" fillId="7" borderId="18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3" fontId="2" fillId="2" borderId="4" xfId="0" applyNumberFormat="1" applyFont="1" applyFill="1" applyBorder="1" applyAlignment="1">
      <alignment horizontal="left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165" fontId="2" fillId="7" borderId="10" xfId="0" applyNumberFormat="1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/>
    </xf>
    <xf numFmtId="3" fontId="13" fillId="7" borderId="7" xfId="0" applyNumberFormat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165" fontId="13" fillId="8" borderId="1" xfId="0" applyNumberFormat="1" applyFont="1" applyFill="1" applyBorder="1" applyAlignment="1">
      <alignment horizontal="center" vertical="center" wrapText="1"/>
    </xf>
    <xf numFmtId="165" fontId="13" fillId="9" borderId="1" xfId="0" applyNumberFormat="1" applyFont="1" applyFill="1" applyBorder="1" applyAlignment="1">
      <alignment horizontal="center" vertical="center" wrapText="1"/>
    </xf>
    <xf numFmtId="165" fontId="13" fillId="10" borderId="1" xfId="0" applyNumberFormat="1" applyFont="1" applyFill="1" applyBorder="1" applyAlignment="1">
      <alignment horizontal="center" vertical="center" wrapText="1"/>
    </xf>
    <xf numFmtId="167" fontId="13" fillId="11" borderId="2" xfId="0" applyNumberFormat="1" applyFont="1" applyFill="1" applyBorder="1" applyAlignment="1">
      <alignment horizontal="center" vertical="center" wrapText="1"/>
    </xf>
    <xf numFmtId="165" fontId="13" fillId="12" borderId="1" xfId="0" applyNumberFormat="1" applyFont="1" applyFill="1" applyBorder="1" applyAlignment="1">
      <alignment horizontal="center" vertical="center" wrapText="1"/>
    </xf>
    <xf numFmtId="165" fontId="13" fillId="13" borderId="1" xfId="0" applyNumberFormat="1" applyFont="1" applyFill="1" applyBorder="1" applyAlignment="1">
      <alignment horizontal="center" vertical="center" wrapText="1"/>
    </xf>
    <xf numFmtId="167" fontId="0" fillId="0" borderId="0" xfId="0" applyNumberFormat="1"/>
    <xf numFmtId="166" fontId="2" fillId="2" borderId="2" xfId="0" applyNumberFormat="1" applyFont="1" applyFill="1" applyBorder="1" applyAlignment="1">
      <alignment horizontal="center" vertical="center" wrapText="1"/>
    </xf>
    <xf numFmtId="167" fontId="13" fillId="6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167" fontId="17" fillId="0" borderId="0" xfId="0" applyNumberFormat="1" applyFont="1" applyAlignment="1">
      <alignment horizontal="center"/>
    </xf>
    <xf numFmtId="167" fontId="19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center"/>
    </xf>
    <xf numFmtId="165" fontId="17" fillId="0" borderId="0" xfId="0" applyNumberFormat="1" applyFont="1" applyAlignment="1">
      <alignment horizontal="center" vertical="center"/>
    </xf>
    <xf numFmtId="165" fontId="19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165" fontId="13" fillId="6" borderId="8" xfId="0" applyNumberFormat="1" applyFont="1" applyFill="1" applyBorder="1" applyAlignment="1">
      <alignment horizontal="center" vertical="center"/>
    </xf>
    <xf numFmtId="4" fontId="0" fillId="0" borderId="0" xfId="0" applyNumberFormat="1"/>
    <xf numFmtId="166" fontId="0" fillId="0" borderId="0" xfId="0" applyNumberFormat="1"/>
    <xf numFmtId="170" fontId="0" fillId="0" borderId="0" xfId="0" applyNumberFormat="1"/>
    <xf numFmtId="167" fontId="13" fillId="6" borderId="1" xfId="0" applyNumberFormat="1" applyFont="1" applyFill="1" applyBorder="1" applyAlignment="1">
      <alignment horizontal="center"/>
    </xf>
    <xf numFmtId="3" fontId="2" fillId="2" borderId="29" xfId="0" applyNumberFormat="1" applyFont="1" applyFill="1" applyBorder="1" applyAlignment="1">
      <alignment horizontal="left" vertical="center" wrapText="1"/>
    </xf>
    <xf numFmtId="3" fontId="2" fillId="2" borderId="30" xfId="0" applyNumberFormat="1" applyFont="1" applyFill="1" applyBorder="1" applyAlignment="1">
      <alignment horizontal="left" vertical="center" wrapText="1"/>
    </xf>
    <xf numFmtId="3" fontId="13" fillId="7" borderId="16" xfId="0" applyNumberFormat="1" applyFont="1" applyFill="1" applyBorder="1" applyAlignment="1">
      <alignment horizontal="left" vertical="center" wrapText="1"/>
    </xf>
    <xf numFmtId="3" fontId="13" fillId="7" borderId="17" xfId="0" applyNumberFormat="1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3" fontId="13" fillId="7" borderId="18" xfId="0" applyNumberFormat="1" applyFont="1" applyFill="1" applyBorder="1" applyAlignment="1">
      <alignment horizontal="left" vertical="center" wrapText="1"/>
    </xf>
    <xf numFmtId="3" fontId="13" fillId="7" borderId="19" xfId="0" applyNumberFormat="1" applyFont="1" applyFill="1" applyBorder="1" applyAlignment="1">
      <alignment horizontal="left" vertical="center" wrapText="1"/>
    </xf>
    <xf numFmtId="3" fontId="13" fillId="7" borderId="20" xfId="0" applyNumberFormat="1" applyFont="1" applyFill="1" applyBorder="1" applyAlignment="1">
      <alignment horizontal="left" vertical="center" wrapText="1"/>
    </xf>
    <xf numFmtId="3" fontId="13" fillId="7" borderId="21" xfId="0" applyNumberFormat="1" applyFont="1" applyFill="1" applyBorder="1" applyAlignment="1">
      <alignment horizontal="left" vertical="center" wrapText="1"/>
    </xf>
    <xf numFmtId="0" fontId="13" fillId="6" borderId="8" xfId="0" applyFont="1" applyFill="1" applyBorder="1" applyAlignment="1">
      <alignment horizontal="left" vertical="center"/>
    </xf>
    <xf numFmtId="0" fontId="13" fillId="6" borderId="9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center" vertical="center" wrapText="1"/>
    </xf>
    <xf numFmtId="3" fontId="13" fillId="7" borderId="5" xfId="0" applyNumberFormat="1" applyFont="1" applyFill="1" applyBorder="1" applyAlignment="1">
      <alignment horizontal="left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18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70AD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1"/>
  <sheetViews>
    <sheetView topLeftCell="A4" workbookViewId="0">
      <selection activeCell="I11" sqref="I11"/>
    </sheetView>
  </sheetViews>
  <sheetFormatPr baseColWidth="10" defaultColWidth="11.5" defaultRowHeight="15" x14ac:dyDescent="0.2"/>
  <cols>
    <col min="1" max="1" width="30.6640625" customWidth="1"/>
    <col min="2" max="2" width="20.6640625" customWidth="1"/>
    <col min="3" max="5" width="11.6640625" customWidth="1"/>
    <col min="6" max="6" width="12.83203125" customWidth="1"/>
    <col min="7" max="7" width="19.1640625" customWidth="1"/>
    <col min="12" max="12" width="14.83203125" customWidth="1"/>
    <col min="15" max="15" width="18.1640625" customWidth="1"/>
    <col min="16" max="16" width="17.33203125" customWidth="1"/>
  </cols>
  <sheetData>
    <row r="1" spans="1:9" ht="30" customHeight="1" x14ac:dyDescent="0.2">
      <c r="A1" s="172" t="s">
        <v>0</v>
      </c>
      <c r="B1" s="173"/>
      <c r="C1" s="173"/>
      <c r="D1" s="173"/>
      <c r="E1" s="173"/>
      <c r="F1" s="173"/>
      <c r="G1" s="173"/>
      <c r="H1" s="173"/>
      <c r="I1" s="173"/>
    </row>
    <row r="2" spans="1:9" x14ac:dyDescent="0.2">
      <c r="A2" s="180" t="s">
        <v>1</v>
      </c>
      <c r="B2" s="180" t="s">
        <v>2</v>
      </c>
      <c r="C2" s="176" t="s">
        <v>45</v>
      </c>
      <c r="D2" s="187"/>
      <c r="E2" s="187"/>
      <c r="F2" s="187"/>
      <c r="G2" s="187"/>
      <c r="H2" s="187"/>
      <c r="I2" s="187"/>
    </row>
    <row r="3" spans="1:9" x14ac:dyDescent="0.2">
      <c r="A3" s="180"/>
      <c r="B3" s="180"/>
      <c r="C3" s="19">
        <v>2012</v>
      </c>
      <c r="D3" s="19">
        <v>2013</v>
      </c>
      <c r="E3" s="19">
        <v>2014</v>
      </c>
      <c r="F3" s="19">
        <v>2015</v>
      </c>
      <c r="G3" s="19">
        <v>2016</v>
      </c>
      <c r="H3" s="39">
        <v>2017</v>
      </c>
      <c r="I3" s="126">
        <v>2018</v>
      </c>
    </row>
    <row r="4" spans="1:9" ht="15" customHeight="1" x14ac:dyDescent="0.2">
      <c r="A4" s="108" t="s">
        <v>19</v>
      </c>
      <c r="B4" s="108" t="s">
        <v>22</v>
      </c>
      <c r="C4" s="89" t="s">
        <v>48</v>
      </c>
      <c r="D4" s="89" t="s">
        <v>48</v>
      </c>
      <c r="E4" s="89" t="s">
        <v>48</v>
      </c>
      <c r="F4" s="90">
        <v>2.7E-2</v>
      </c>
      <c r="G4" s="90">
        <v>1.4999999999999999E-2</v>
      </c>
      <c r="H4" s="90" t="s">
        <v>48</v>
      </c>
      <c r="I4" s="90" t="s">
        <v>48</v>
      </c>
    </row>
    <row r="5" spans="1:9" ht="15" customHeight="1" x14ac:dyDescent="0.2">
      <c r="A5" s="108" t="s">
        <v>3</v>
      </c>
      <c r="B5" s="108" t="s">
        <v>4</v>
      </c>
      <c r="C5" s="110">
        <v>0.8</v>
      </c>
      <c r="D5" s="110">
        <v>0.7</v>
      </c>
      <c r="E5" s="90">
        <v>0.79900000000000004</v>
      </c>
      <c r="F5" s="90">
        <v>0.79600000000000004</v>
      </c>
      <c r="G5" s="90">
        <v>0.77100000000000002</v>
      </c>
      <c r="H5" s="90">
        <v>0.97599999999999998</v>
      </c>
      <c r="I5" s="90">
        <v>0.80056280441400307</v>
      </c>
    </row>
    <row r="6" spans="1:9" ht="15" customHeight="1" x14ac:dyDescent="0.2">
      <c r="A6" s="108" t="s">
        <v>5</v>
      </c>
      <c r="B6" s="108" t="s">
        <v>6</v>
      </c>
      <c r="C6" s="89" t="s">
        <v>48</v>
      </c>
      <c r="D6" s="90">
        <v>1E-3</v>
      </c>
      <c r="E6" s="90">
        <v>1E-3</v>
      </c>
      <c r="F6" s="89" t="s">
        <v>48</v>
      </c>
      <c r="G6" s="90" t="s">
        <v>48</v>
      </c>
      <c r="H6" s="90" t="s">
        <v>48</v>
      </c>
      <c r="I6" s="112" t="s">
        <v>48</v>
      </c>
    </row>
    <row r="7" spans="1:9" ht="15" customHeight="1" x14ac:dyDescent="0.2">
      <c r="A7" s="108" t="s">
        <v>5</v>
      </c>
      <c r="B7" s="108" t="s">
        <v>7</v>
      </c>
      <c r="C7" s="110">
        <v>0.7</v>
      </c>
      <c r="D7" s="110">
        <v>0.6</v>
      </c>
      <c r="E7" s="90">
        <v>0.55800000000000005</v>
      </c>
      <c r="F7" s="90">
        <v>0.498</v>
      </c>
      <c r="G7" s="90">
        <v>0.61199999999999999</v>
      </c>
      <c r="H7" s="90">
        <v>0.60299999999999998</v>
      </c>
      <c r="I7" s="90">
        <v>0.59036999999999995</v>
      </c>
    </row>
    <row r="8" spans="1:9" ht="15" customHeight="1" x14ac:dyDescent="0.2">
      <c r="A8" s="111" t="s">
        <v>92</v>
      </c>
      <c r="B8" s="111" t="s">
        <v>93</v>
      </c>
      <c r="C8" s="110" t="s">
        <v>48</v>
      </c>
      <c r="D8" s="110" t="s">
        <v>48</v>
      </c>
      <c r="E8" s="90" t="s">
        <v>48</v>
      </c>
      <c r="F8" s="109" t="s">
        <v>48</v>
      </c>
      <c r="G8" s="90" t="s">
        <v>48</v>
      </c>
      <c r="H8" s="90">
        <v>5.8000000000000003E-2</v>
      </c>
      <c r="I8" s="90" t="s">
        <v>48</v>
      </c>
    </row>
    <row r="9" spans="1:9" ht="15" customHeight="1" x14ac:dyDescent="0.2">
      <c r="A9" s="108" t="s">
        <v>8</v>
      </c>
      <c r="B9" s="108" t="s">
        <v>31</v>
      </c>
      <c r="C9" s="110" t="s">
        <v>48</v>
      </c>
      <c r="D9" s="110" t="s">
        <v>48</v>
      </c>
      <c r="E9" s="90" t="s">
        <v>48</v>
      </c>
      <c r="F9" s="90">
        <v>1.7999999999999999E-2</v>
      </c>
      <c r="G9" s="90">
        <v>6.0000000000000001E-3</v>
      </c>
      <c r="H9" s="90">
        <v>0.03</v>
      </c>
      <c r="I9" s="90">
        <v>4.0000000000000001E-3</v>
      </c>
    </row>
    <row r="10" spans="1:9" ht="15" customHeight="1" x14ac:dyDescent="0.2">
      <c r="A10" s="108" t="s">
        <v>8</v>
      </c>
      <c r="B10" s="108" t="s">
        <v>9</v>
      </c>
      <c r="C10" s="110">
        <v>0.5</v>
      </c>
      <c r="D10" s="110">
        <v>0.5</v>
      </c>
      <c r="E10" s="90">
        <v>0.52700000000000002</v>
      </c>
      <c r="F10" s="90">
        <v>0.65100000000000002</v>
      </c>
      <c r="G10" s="90">
        <v>0.57999999999999996</v>
      </c>
      <c r="H10" s="90">
        <v>0.58299999999999996</v>
      </c>
      <c r="I10" s="90">
        <v>0.5717000000000001</v>
      </c>
    </row>
    <row r="11" spans="1:9" ht="15" customHeight="1" x14ac:dyDescent="0.2">
      <c r="A11" s="108" t="s">
        <v>10</v>
      </c>
      <c r="B11" s="108" t="s">
        <v>11</v>
      </c>
      <c r="C11" s="110">
        <v>0.7</v>
      </c>
      <c r="D11" s="110">
        <v>0.7</v>
      </c>
      <c r="E11" s="90">
        <v>0.84899999999999998</v>
      </c>
      <c r="F11" s="90">
        <v>0.99</v>
      </c>
      <c r="G11" s="90">
        <v>0.97299999999999998</v>
      </c>
      <c r="H11" s="90">
        <v>1.3029999999999999</v>
      </c>
      <c r="I11" s="90">
        <v>0.69026999999999994</v>
      </c>
    </row>
    <row r="12" spans="1:9" ht="15" customHeight="1" x14ac:dyDescent="0.2">
      <c r="A12" s="108" t="s">
        <v>12</v>
      </c>
      <c r="B12" s="108" t="s">
        <v>13</v>
      </c>
      <c r="C12" s="110">
        <v>0.5</v>
      </c>
      <c r="D12" s="110">
        <v>0.6</v>
      </c>
      <c r="E12" s="90">
        <v>0.25900000000000001</v>
      </c>
      <c r="F12" s="90">
        <v>0.312</v>
      </c>
      <c r="G12" s="90">
        <v>0.46400000000000002</v>
      </c>
      <c r="H12" s="90">
        <v>0.10199999999999999</v>
      </c>
      <c r="I12" s="90">
        <v>0.29807</v>
      </c>
    </row>
    <row r="13" spans="1:9" ht="15" customHeight="1" x14ac:dyDescent="0.2">
      <c r="A13" s="108" t="s">
        <v>12</v>
      </c>
      <c r="B13" s="108" t="s">
        <v>14</v>
      </c>
      <c r="C13" s="112">
        <v>0.02</v>
      </c>
      <c r="D13" s="112">
        <v>0.06</v>
      </c>
      <c r="E13" s="89" t="s">
        <v>48</v>
      </c>
      <c r="F13" s="89" t="s">
        <v>48</v>
      </c>
      <c r="G13" s="90" t="s">
        <v>48</v>
      </c>
      <c r="H13" s="90" t="s">
        <v>48</v>
      </c>
      <c r="I13" s="90" t="s">
        <v>101</v>
      </c>
    </row>
    <row r="14" spans="1:9" x14ac:dyDescent="0.2">
      <c r="A14" s="108" t="s">
        <v>15</v>
      </c>
      <c r="B14" s="108" t="s">
        <v>16</v>
      </c>
      <c r="C14" s="110">
        <v>1.3</v>
      </c>
      <c r="D14" s="110">
        <v>1.2</v>
      </c>
      <c r="E14" s="90">
        <v>1.371</v>
      </c>
      <c r="F14" s="109">
        <v>1.3180000000000001</v>
      </c>
      <c r="G14" s="90">
        <v>1.252</v>
      </c>
      <c r="H14" s="90">
        <v>1.3049999999999999</v>
      </c>
      <c r="I14" s="90">
        <v>1.4596500000000001</v>
      </c>
    </row>
    <row r="15" spans="1:9" x14ac:dyDescent="0.2">
      <c r="A15" s="113"/>
      <c r="B15" s="113"/>
      <c r="C15" s="113"/>
      <c r="D15" s="113"/>
      <c r="E15" s="113"/>
      <c r="F15" s="56"/>
      <c r="G15" s="56"/>
      <c r="H15" s="56"/>
      <c r="I15" s="56"/>
    </row>
    <row r="16" spans="1:9" x14ac:dyDescent="0.2">
      <c r="A16" s="114"/>
      <c r="B16" s="67" t="s">
        <v>17</v>
      </c>
      <c r="C16" s="60">
        <f>ROUND(SUM(C4:C14),1)</f>
        <v>4.5</v>
      </c>
      <c r="D16" s="60">
        <f>ROUND(SUM(D4:D14),1)</f>
        <v>4.4000000000000004</v>
      </c>
      <c r="E16" s="61">
        <f>SUM(E4:E14)</f>
        <v>4.3639999999999999</v>
      </c>
      <c r="F16" s="61">
        <f>SUM(F4:F14)</f>
        <v>4.6100000000000003</v>
      </c>
      <c r="G16" s="61">
        <f>SUM(G4:G14)</f>
        <v>4.673</v>
      </c>
      <c r="H16" s="61">
        <f>SUM(H4:H14)</f>
        <v>4.96</v>
      </c>
      <c r="I16" s="61">
        <f>SUM(I4:I14)</f>
        <v>4.4146228044140035</v>
      </c>
    </row>
    <row r="18" spans="1:16" ht="30" customHeight="1" x14ac:dyDescent="0.2">
      <c r="A18" s="176" t="s">
        <v>86</v>
      </c>
      <c r="B18" s="187"/>
      <c r="C18" s="187"/>
      <c r="D18" s="41"/>
      <c r="E18" s="172" t="s">
        <v>86</v>
      </c>
      <c r="F18" s="173"/>
      <c r="G18" s="173"/>
      <c r="H18" s="173"/>
      <c r="J18" s="172" t="s">
        <v>86</v>
      </c>
      <c r="K18" s="173"/>
      <c r="L18" s="173"/>
      <c r="M18" s="173"/>
    </row>
    <row r="19" spans="1:16" x14ac:dyDescent="0.2">
      <c r="A19" s="180" t="s">
        <v>1</v>
      </c>
      <c r="B19" s="180" t="s">
        <v>87</v>
      </c>
      <c r="C19" s="37" t="s">
        <v>45</v>
      </c>
      <c r="E19" s="174" t="s">
        <v>1</v>
      </c>
      <c r="F19" s="175"/>
      <c r="G19" s="178" t="s">
        <v>87</v>
      </c>
      <c r="H19" s="37" t="s">
        <v>45</v>
      </c>
      <c r="J19" s="174" t="s">
        <v>1</v>
      </c>
      <c r="K19" s="175"/>
      <c r="L19" s="178" t="s">
        <v>87</v>
      </c>
      <c r="M19" s="126" t="s">
        <v>45</v>
      </c>
    </row>
    <row r="20" spans="1:16" x14ac:dyDescent="0.2">
      <c r="A20" s="180"/>
      <c r="B20" s="180"/>
      <c r="C20" s="37">
        <v>2016</v>
      </c>
      <c r="E20" s="176"/>
      <c r="F20" s="177"/>
      <c r="G20" s="179"/>
      <c r="H20" s="42">
        <v>2017</v>
      </c>
      <c r="J20" s="176"/>
      <c r="K20" s="177"/>
      <c r="L20" s="179"/>
      <c r="M20" s="127">
        <v>2018</v>
      </c>
      <c r="O20" s="155"/>
      <c r="P20" s="155"/>
    </row>
    <row r="21" spans="1:16" ht="22.5" customHeight="1" x14ac:dyDescent="0.2">
      <c r="A21" s="108" t="s">
        <v>19</v>
      </c>
      <c r="B21" s="59" t="s">
        <v>44</v>
      </c>
      <c r="C21" s="69">
        <v>1.4999999999999999E-2</v>
      </c>
      <c r="E21" s="181" t="s">
        <v>3</v>
      </c>
      <c r="F21" s="182"/>
      <c r="G21" s="52" t="s">
        <v>55</v>
      </c>
      <c r="H21" s="69">
        <f>220.5/1000</f>
        <v>0.2205</v>
      </c>
      <c r="J21" s="168" t="s">
        <v>3</v>
      </c>
      <c r="K21" s="169"/>
      <c r="L21" s="1" t="s">
        <v>56</v>
      </c>
      <c r="M21" s="69">
        <v>0.60675000000000001</v>
      </c>
      <c r="O21" s="156"/>
      <c r="P21" s="117"/>
    </row>
    <row r="22" spans="1:16" ht="15" customHeight="1" x14ac:dyDescent="0.2">
      <c r="A22" s="59" t="s">
        <v>3</v>
      </c>
      <c r="B22" s="59" t="s">
        <v>56</v>
      </c>
      <c r="C22" s="69">
        <v>0.57999999999999996</v>
      </c>
      <c r="E22" s="181" t="s">
        <v>3</v>
      </c>
      <c r="F22" s="182"/>
      <c r="G22" s="52" t="s">
        <v>56</v>
      </c>
      <c r="H22" s="69">
        <f>564/1000</f>
        <v>0.56399999999999995</v>
      </c>
      <c r="J22" s="168" t="s">
        <v>3</v>
      </c>
      <c r="K22" s="169"/>
      <c r="L22" s="1" t="s">
        <v>57</v>
      </c>
      <c r="M22" s="69">
        <v>3.6850000000000001E-2</v>
      </c>
      <c r="O22" s="156"/>
      <c r="P22" s="117"/>
    </row>
    <row r="23" spans="1:16" ht="20.5" customHeight="1" x14ac:dyDescent="0.2">
      <c r="A23" s="59" t="s">
        <v>3</v>
      </c>
      <c r="B23" s="59" t="s">
        <v>57</v>
      </c>
      <c r="C23" s="69">
        <v>0.04</v>
      </c>
      <c r="E23" s="181" t="s">
        <v>3</v>
      </c>
      <c r="F23" s="182"/>
      <c r="G23" s="52" t="s">
        <v>57</v>
      </c>
      <c r="H23" s="69">
        <f>40.2/1000</f>
        <v>4.02E-2</v>
      </c>
      <c r="J23" s="168" t="s">
        <v>3</v>
      </c>
      <c r="K23" s="169"/>
      <c r="L23" s="1" t="s">
        <v>61</v>
      </c>
      <c r="M23" s="69">
        <v>0.15696280441400298</v>
      </c>
      <c r="O23" s="156"/>
      <c r="P23" s="117"/>
    </row>
    <row r="24" spans="1:16" ht="20.5" customHeight="1" x14ac:dyDescent="0.2">
      <c r="A24" s="59" t="s">
        <v>3</v>
      </c>
      <c r="B24" s="59" t="s">
        <v>61</v>
      </c>
      <c r="C24" s="69">
        <v>0.151</v>
      </c>
      <c r="E24" s="181" t="s">
        <v>3</v>
      </c>
      <c r="F24" s="182"/>
      <c r="G24" s="52" t="s">
        <v>61</v>
      </c>
      <c r="H24" s="69">
        <v>0.15123918488160301</v>
      </c>
      <c r="J24" s="168" t="s">
        <v>5</v>
      </c>
      <c r="K24" s="169"/>
      <c r="L24" s="1" t="s">
        <v>65</v>
      </c>
      <c r="M24" s="69">
        <v>0.59036999999999995</v>
      </c>
      <c r="O24" s="156"/>
      <c r="P24" s="117"/>
    </row>
    <row r="25" spans="1:16" ht="20.5" customHeight="1" x14ac:dyDescent="0.2">
      <c r="A25" s="108" t="s">
        <v>5</v>
      </c>
      <c r="B25" s="59" t="s">
        <v>65</v>
      </c>
      <c r="C25" s="69">
        <v>0.61199999999999999</v>
      </c>
      <c r="E25" s="183" t="s">
        <v>5</v>
      </c>
      <c r="F25" s="184"/>
      <c r="G25" s="52" t="s">
        <v>65</v>
      </c>
      <c r="H25" s="69">
        <f>603/1000</f>
        <v>0.60299999999999998</v>
      </c>
      <c r="J25" s="168" t="s">
        <v>8</v>
      </c>
      <c r="K25" s="169"/>
      <c r="L25" s="1" t="s">
        <v>70</v>
      </c>
      <c r="M25" s="69">
        <v>4.0000000000000001E-3</v>
      </c>
      <c r="O25" s="156"/>
      <c r="P25" s="117"/>
    </row>
    <row r="26" spans="1:16" ht="20.5" customHeight="1" x14ac:dyDescent="0.2">
      <c r="A26" s="108" t="s">
        <v>8</v>
      </c>
      <c r="B26" s="59" t="s">
        <v>70</v>
      </c>
      <c r="C26" s="69">
        <v>6.0000000000000001E-3</v>
      </c>
      <c r="E26" s="185" t="s">
        <v>92</v>
      </c>
      <c r="F26" s="186"/>
      <c r="G26" s="52" t="s">
        <v>94</v>
      </c>
      <c r="H26" s="53">
        <f>58/1000</f>
        <v>5.8000000000000003E-2</v>
      </c>
      <c r="J26" s="168" t="s">
        <v>8</v>
      </c>
      <c r="K26" s="169"/>
      <c r="L26" s="1" t="s">
        <v>71</v>
      </c>
      <c r="M26" s="69">
        <v>0.5717000000000001</v>
      </c>
      <c r="O26" s="156"/>
      <c r="P26" s="117"/>
    </row>
    <row r="27" spans="1:16" ht="20.5" customHeight="1" x14ac:dyDescent="0.2">
      <c r="A27" s="108" t="s">
        <v>8</v>
      </c>
      <c r="B27" s="59" t="s">
        <v>71</v>
      </c>
      <c r="C27" s="69">
        <v>0.57999999999999996</v>
      </c>
      <c r="E27" s="170" t="s">
        <v>8</v>
      </c>
      <c r="F27" s="171"/>
      <c r="G27" s="52" t="s">
        <v>70</v>
      </c>
      <c r="H27" s="69">
        <v>0.03</v>
      </c>
      <c r="J27" s="168" t="s">
        <v>10</v>
      </c>
      <c r="K27" s="169"/>
      <c r="L27" s="1" t="s">
        <v>72</v>
      </c>
      <c r="M27" s="69">
        <v>0.41556999999999999</v>
      </c>
      <c r="N27" s="152"/>
      <c r="O27" s="157"/>
      <c r="P27" s="158"/>
    </row>
    <row r="28" spans="1:16" ht="15" customHeight="1" x14ac:dyDescent="0.2">
      <c r="A28" s="59" t="s">
        <v>10</v>
      </c>
      <c r="B28" s="59" t="s">
        <v>72</v>
      </c>
      <c r="C28" s="69">
        <v>0.67</v>
      </c>
      <c r="E28" s="181" t="s">
        <v>8</v>
      </c>
      <c r="F28" s="182"/>
      <c r="G28" s="52" t="s">
        <v>71</v>
      </c>
      <c r="H28" s="69">
        <f>583.1/1000</f>
        <v>0.58310000000000006</v>
      </c>
      <c r="J28" s="168" t="s">
        <v>10</v>
      </c>
      <c r="K28" s="169"/>
      <c r="L28" s="1" t="s">
        <v>74</v>
      </c>
      <c r="M28" s="69">
        <v>2.5100000000000001E-2</v>
      </c>
      <c r="O28" s="156"/>
      <c r="P28" s="117"/>
    </row>
    <row r="29" spans="1:16" ht="20.5" customHeight="1" x14ac:dyDescent="0.2">
      <c r="A29" s="59" t="s">
        <v>10</v>
      </c>
      <c r="B29" s="59" t="s">
        <v>74</v>
      </c>
      <c r="C29" s="69">
        <v>2.4E-2</v>
      </c>
      <c r="E29" s="181" t="s">
        <v>10</v>
      </c>
      <c r="F29" s="182"/>
      <c r="G29" s="52" t="s">
        <v>72</v>
      </c>
      <c r="H29" s="69">
        <f>581.4/1000</f>
        <v>0.58140000000000003</v>
      </c>
      <c r="J29" s="168" t="s">
        <v>10</v>
      </c>
      <c r="K29" s="169"/>
      <c r="L29" s="1" t="s">
        <v>76</v>
      </c>
      <c r="M29" s="69">
        <v>0.24959999999999999</v>
      </c>
      <c r="O29" s="157"/>
      <c r="P29" s="158"/>
    </row>
    <row r="30" spans="1:16" ht="20.5" customHeight="1" x14ac:dyDescent="0.2">
      <c r="A30" s="59" t="s">
        <v>10</v>
      </c>
      <c r="B30" s="59" t="s">
        <v>76</v>
      </c>
      <c r="C30" s="69">
        <v>0.27900000000000003</v>
      </c>
      <c r="E30" s="181" t="s">
        <v>10</v>
      </c>
      <c r="F30" s="182"/>
      <c r="G30" s="52" t="s">
        <v>74</v>
      </c>
      <c r="H30" s="69">
        <f>46.3/1000</f>
        <v>4.6299999999999994E-2</v>
      </c>
      <c r="J30" s="168" t="s">
        <v>12</v>
      </c>
      <c r="K30" s="169"/>
      <c r="L30" s="1" t="s">
        <v>76</v>
      </c>
      <c r="M30" s="69">
        <v>0.29807</v>
      </c>
      <c r="O30" s="156"/>
      <c r="P30" s="117"/>
    </row>
    <row r="31" spans="1:16" ht="20.5" customHeight="1" x14ac:dyDescent="0.2">
      <c r="A31" s="108" t="s">
        <v>12</v>
      </c>
      <c r="B31" s="59" t="s">
        <v>76</v>
      </c>
      <c r="C31" s="69">
        <v>0.46400000000000002</v>
      </c>
      <c r="E31" s="181" t="s">
        <v>10</v>
      </c>
      <c r="F31" s="182"/>
      <c r="G31" s="52" t="s">
        <v>76</v>
      </c>
      <c r="H31" s="69">
        <f>675/1000</f>
        <v>0.67500000000000004</v>
      </c>
      <c r="J31" s="168" t="s">
        <v>46</v>
      </c>
      <c r="K31" s="169"/>
      <c r="L31" s="1" t="s">
        <v>77</v>
      </c>
      <c r="M31" s="69">
        <v>1.4596500000000001</v>
      </c>
      <c r="O31" s="156"/>
      <c r="P31" s="117"/>
    </row>
    <row r="32" spans="1:16" x14ac:dyDescent="0.2">
      <c r="A32" s="108" t="s">
        <v>15</v>
      </c>
      <c r="B32" s="59" t="s">
        <v>77</v>
      </c>
      <c r="C32" s="69">
        <v>1.252</v>
      </c>
      <c r="E32" s="181" t="s">
        <v>12</v>
      </c>
      <c r="F32" s="182"/>
      <c r="G32" s="52" t="s">
        <v>76</v>
      </c>
      <c r="H32" s="69">
        <v>0.10199999999999999</v>
      </c>
      <c r="O32" s="117"/>
      <c r="P32" s="117"/>
    </row>
    <row r="33" spans="1:15" ht="20.5" customHeight="1" x14ac:dyDescent="0.2">
      <c r="A33" s="56"/>
      <c r="B33" s="56"/>
      <c r="C33" s="56"/>
      <c r="E33" s="181" t="s">
        <v>46</v>
      </c>
      <c r="F33" s="188"/>
      <c r="G33" s="70" t="s">
        <v>77</v>
      </c>
      <c r="H33" s="69">
        <f>1305/1000</f>
        <v>1.3049999999999999</v>
      </c>
      <c r="L33" s="55" t="s">
        <v>17</v>
      </c>
      <c r="M33" s="71">
        <f>SUM(M21:M31)</f>
        <v>4.4146228044140035</v>
      </c>
      <c r="O33" s="152"/>
    </row>
    <row r="34" spans="1:15" ht="20.5" customHeight="1" x14ac:dyDescent="0.2">
      <c r="A34" s="56"/>
      <c r="B34" s="67" t="s">
        <v>17</v>
      </c>
      <c r="C34" s="61">
        <f>SUM(C21:C32)</f>
        <v>4.673</v>
      </c>
      <c r="E34" s="56"/>
      <c r="F34" s="56"/>
      <c r="G34" s="56"/>
      <c r="H34" s="56"/>
    </row>
    <row r="35" spans="1:15" x14ac:dyDescent="0.2">
      <c r="E35" s="56"/>
      <c r="F35" s="56"/>
      <c r="G35" s="55" t="s">
        <v>17</v>
      </c>
      <c r="H35" s="71">
        <f>SUM(H21:H33)</f>
        <v>4.9597391848816033</v>
      </c>
      <c r="J35" s="56"/>
    </row>
    <row r="57" spans="10:13" x14ac:dyDescent="0.2">
      <c r="J57" s="172" t="s">
        <v>86</v>
      </c>
      <c r="K57" s="173"/>
      <c r="L57" s="173"/>
      <c r="M57" s="173"/>
    </row>
    <row r="58" spans="10:13" x14ac:dyDescent="0.2">
      <c r="J58" s="174" t="s">
        <v>1</v>
      </c>
      <c r="K58" s="175"/>
      <c r="L58" s="178" t="s">
        <v>87</v>
      </c>
      <c r="M58" s="144" t="s">
        <v>45</v>
      </c>
    </row>
    <row r="59" spans="10:13" x14ac:dyDescent="0.2">
      <c r="J59" s="176"/>
      <c r="K59" s="177"/>
      <c r="L59" s="179"/>
      <c r="M59" s="145">
        <v>2018</v>
      </c>
    </row>
    <row r="60" spans="10:13" x14ac:dyDescent="0.2">
      <c r="J60" s="170" t="s">
        <v>3</v>
      </c>
      <c r="K60" s="171"/>
      <c r="L60" s="52" t="s">
        <v>56</v>
      </c>
      <c r="M60" s="146">
        <f>606.75/1000</f>
        <v>0.60675000000000001</v>
      </c>
    </row>
    <row r="61" spans="10:13" x14ac:dyDescent="0.2">
      <c r="J61" s="170" t="s">
        <v>3</v>
      </c>
      <c r="K61" s="171"/>
      <c r="L61" s="52" t="s">
        <v>57</v>
      </c>
      <c r="M61" s="146">
        <f>36.85/1000</f>
        <v>3.6850000000000001E-2</v>
      </c>
    </row>
    <row r="62" spans="10:13" x14ac:dyDescent="0.2">
      <c r="J62" s="170" t="s">
        <v>3</v>
      </c>
      <c r="K62" s="171"/>
      <c r="L62" s="52" t="s">
        <v>61</v>
      </c>
      <c r="M62" s="146">
        <f>156.962804414003/1000</f>
        <v>0.15696280441400298</v>
      </c>
    </row>
    <row r="63" spans="10:13" x14ac:dyDescent="0.2">
      <c r="J63" s="170" t="s">
        <v>5</v>
      </c>
      <c r="K63" s="171"/>
      <c r="L63" s="52" t="s">
        <v>65</v>
      </c>
      <c r="M63" s="147">
        <f>590.37/1000</f>
        <v>0.59036999999999995</v>
      </c>
    </row>
    <row r="64" spans="10:13" x14ac:dyDescent="0.2">
      <c r="J64" s="170" t="s">
        <v>8</v>
      </c>
      <c r="K64" s="171"/>
      <c r="L64" s="52" t="s">
        <v>70</v>
      </c>
      <c r="M64" s="148">
        <f>4/1000</f>
        <v>4.0000000000000001E-3</v>
      </c>
    </row>
    <row r="65" spans="10:13" x14ac:dyDescent="0.2">
      <c r="J65" s="170" t="s">
        <v>8</v>
      </c>
      <c r="K65" s="171"/>
      <c r="L65" s="52" t="s">
        <v>71</v>
      </c>
      <c r="M65" s="149">
        <f>571.7/1000</f>
        <v>0.5717000000000001</v>
      </c>
    </row>
    <row r="66" spans="10:13" x14ac:dyDescent="0.2">
      <c r="J66" s="170" t="s">
        <v>10</v>
      </c>
      <c r="K66" s="171"/>
      <c r="L66" s="52" t="s">
        <v>72</v>
      </c>
      <c r="M66" s="150">
        <f>415.57/1000</f>
        <v>0.41556999999999999</v>
      </c>
    </row>
    <row r="67" spans="10:13" x14ac:dyDescent="0.2">
      <c r="J67" s="170" t="s">
        <v>10</v>
      </c>
      <c r="K67" s="171"/>
      <c r="L67" s="52" t="s">
        <v>74</v>
      </c>
      <c r="M67" s="150">
        <f>25.1/1000</f>
        <v>2.5100000000000001E-2</v>
      </c>
    </row>
    <row r="68" spans="10:13" x14ac:dyDescent="0.2">
      <c r="J68" s="170" t="s">
        <v>12</v>
      </c>
      <c r="K68" s="171"/>
      <c r="L68" s="52" t="s">
        <v>76</v>
      </c>
      <c r="M68" s="151">
        <f>547.9639784/1000</f>
        <v>0.5479639784</v>
      </c>
    </row>
    <row r="69" spans="10:13" x14ac:dyDescent="0.2">
      <c r="J69" s="170" t="s">
        <v>46</v>
      </c>
      <c r="K69" s="171"/>
      <c r="L69" s="70" t="s">
        <v>77</v>
      </c>
      <c r="M69" s="69">
        <f>1459.65/1000</f>
        <v>1.4596500000000001</v>
      </c>
    </row>
    <row r="71" spans="10:13" x14ac:dyDescent="0.2">
      <c r="L71" s="55" t="s">
        <v>17</v>
      </c>
      <c r="M71" s="71">
        <f>SUM(M60:M69)</f>
        <v>4.4149167828140037</v>
      </c>
    </row>
  </sheetData>
  <mergeCells count="50">
    <mergeCell ref="E33:F33"/>
    <mergeCell ref="E28:F28"/>
    <mergeCell ref="E29:F29"/>
    <mergeCell ref="E30:F30"/>
    <mergeCell ref="E31:F31"/>
    <mergeCell ref="E32:F32"/>
    <mergeCell ref="A1:I1"/>
    <mergeCell ref="E24:F24"/>
    <mergeCell ref="E25:F25"/>
    <mergeCell ref="E26:F26"/>
    <mergeCell ref="E27:F27"/>
    <mergeCell ref="E19:F20"/>
    <mergeCell ref="E21:F21"/>
    <mergeCell ref="E22:F22"/>
    <mergeCell ref="E23:F23"/>
    <mergeCell ref="A2:A3"/>
    <mergeCell ref="B2:B3"/>
    <mergeCell ref="A18:C18"/>
    <mergeCell ref="G19:G20"/>
    <mergeCell ref="E18:H18"/>
    <mergeCell ref="C2:I2"/>
    <mergeCell ref="J18:M18"/>
    <mergeCell ref="J19:K20"/>
    <mergeCell ref="L19:L20"/>
    <mergeCell ref="A19:A20"/>
    <mergeCell ref="B19:B20"/>
    <mergeCell ref="J29:K29"/>
    <mergeCell ref="J21:K21"/>
    <mergeCell ref="J22:K22"/>
    <mergeCell ref="J25:K25"/>
    <mergeCell ref="J28:K28"/>
    <mergeCell ref="J27:K27"/>
    <mergeCell ref="J23:K23"/>
    <mergeCell ref="J24:K24"/>
    <mergeCell ref="J26:K26"/>
    <mergeCell ref="J30:K30"/>
    <mergeCell ref="J67:K67"/>
    <mergeCell ref="J68:K68"/>
    <mergeCell ref="J69:K69"/>
    <mergeCell ref="J31:K31"/>
    <mergeCell ref="J62:K62"/>
    <mergeCell ref="J63:K63"/>
    <mergeCell ref="J64:K64"/>
    <mergeCell ref="J65:K65"/>
    <mergeCell ref="J66:K66"/>
    <mergeCell ref="J57:M57"/>
    <mergeCell ref="J58:K59"/>
    <mergeCell ref="L58:L59"/>
    <mergeCell ref="J60:K60"/>
    <mergeCell ref="J61:K61"/>
  </mergeCells>
  <phoneticPr fontId="1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0"/>
  <sheetViews>
    <sheetView workbookViewId="0">
      <selection activeCell="I6" sqref="I6"/>
    </sheetView>
  </sheetViews>
  <sheetFormatPr baseColWidth="10" defaultColWidth="11.5" defaultRowHeight="15" x14ac:dyDescent="0.2"/>
  <cols>
    <col min="1" max="2" width="30.6640625" customWidth="1"/>
    <col min="3" max="3" width="11.5" bestFit="1" customWidth="1"/>
    <col min="4" max="4" width="13.33203125" customWidth="1"/>
    <col min="5" max="5" width="20.1640625" customWidth="1"/>
    <col min="6" max="6" width="17.33203125" customWidth="1"/>
    <col min="7" max="7" width="11.5" bestFit="1" customWidth="1"/>
    <col min="9" max="9" width="19.5" customWidth="1"/>
    <col min="10" max="10" width="13" bestFit="1" customWidth="1"/>
    <col min="11" max="11" width="11.5" bestFit="1" customWidth="1"/>
    <col min="14" max="14" width="14.83203125" customWidth="1"/>
    <col min="15" max="15" width="14.6640625" customWidth="1"/>
  </cols>
  <sheetData>
    <row r="1" spans="1:14" ht="30" customHeight="1" x14ac:dyDescent="0.2">
      <c r="A1" s="189" t="s">
        <v>18</v>
      </c>
      <c r="B1" s="173"/>
      <c r="C1" s="173"/>
      <c r="D1" s="173"/>
      <c r="E1" s="173"/>
      <c r="F1" s="173"/>
      <c r="G1" s="173"/>
      <c r="H1" s="173"/>
      <c r="I1" s="173"/>
    </row>
    <row r="2" spans="1:14" x14ac:dyDescent="0.2">
      <c r="A2" s="190" t="s">
        <v>1</v>
      </c>
      <c r="B2" s="191" t="s">
        <v>2</v>
      </c>
      <c r="C2" s="172" t="s">
        <v>45</v>
      </c>
      <c r="D2" s="173"/>
      <c r="E2" s="173"/>
      <c r="F2" s="173"/>
      <c r="G2" s="173"/>
      <c r="H2" s="173"/>
      <c r="I2" s="173"/>
    </row>
    <row r="3" spans="1:14" x14ac:dyDescent="0.2">
      <c r="A3" s="190"/>
      <c r="B3" s="190"/>
      <c r="C3" s="101">
        <v>2012</v>
      </c>
      <c r="D3" s="101">
        <v>2013</v>
      </c>
      <c r="E3" s="101">
        <v>2014</v>
      </c>
      <c r="F3" s="101">
        <v>2015</v>
      </c>
      <c r="G3" s="101">
        <v>2016</v>
      </c>
      <c r="H3" s="116">
        <v>2017</v>
      </c>
      <c r="I3" s="128">
        <v>2018</v>
      </c>
      <c r="L3" s="10"/>
      <c r="M3" s="10"/>
      <c r="N3" s="10"/>
    </row>
    <row r="4" spans="1:14" ht="15" customHeight="1" x14ac:dyDescent="0.2">
      <c r="A4" s="59" t="s">
        <v>19</v>
      </c>
      <c r="B4" s="59" t="s">
        <v>20</v>
      </c>
      <c r="C4" s="60">
        <v>0.1</v>
      </c>
      <c r="D4" s="60">
        <v>0.1</v>
      </c>
      <c r="E4" s="61">
        <v>0.104</v>
      </c>
      <c r="F4" s="61">
        <v>0.124</v>
      </c>
      <c r="G4" s="118">
        <v>0.109</v>
      </c>
      <c r="H4" s="118">
        <v>0.114</v>
      </c>
      <c r="I4" s="118">
        <v>0.128</v>
      </c>
      <c r="L4" s="10"/>
      <c r="M4" s="10"/>
      <c r="N4" s="10"/>
    </row>
    <row r="5" spans="1:14" ht="15" customHeight="1" x14ac:dyDescent="0.2">
      <c r="A5" s="59" t="s">
        <v>19</v>
      </c>
      <c r="B5" s="59" t="s">
        <v>21</v>
      </c>
      <c r="C5" s="60">
        <v>0.7</v>
      </c>
      <c r="D5" s="60">
        <v>0.7</v>
      </c>
      <c r="E5" s="61">
        <v>0.65300000000000002</v>
      </c>
      <c r="F5" s="61">
        <v>0.65300000000000002</v>
      </c>
      <c r="G5" s="118">
        <v>0.63400000000000001</v>
      </c>
      <c r="H5" s="133">
        <v>0.64100000000000001</v>
      </c>
      <c r="I5" s="133">
        <v>0.70899999999999996</v>
      </c>
      <c r="L5" s="10"/>
      <c r="M5" s="10"/>
      <c r="N5" s="10"/>
    </row>
    <row r="6" spans="1:14" ht="15" customHeight="1" x14ac:dyDescent="0.2">
      <c r="A6" s="59" t="s">
        <v>19</v>
      </c>
      <c r="B6" s="59" t="s">
        <v>22</v>
      </c>
      <c r="C6" s="60">
        <v>0.30000000000000004</v>
      </c>
      <c r="D6" s="60">
        <v>0.3</v>
      </c>
      <c r="E6" s="61">
        <v>0.16700000000000001</v>
      </c>
      <c r="F6" s="61">
        <v>0.26300000000000001</v>
      </c>
      <c r="G6" s="118">
        <v>0.25900000000000001</v>
      </c>
      <c r="H6" s="130">
        <v>0.254</v>
      </c>
      <c r="I6" s="130">
        <v>0.15825</v>
      </c>
      <c r="L6" s="10"/>
      <c r="M6" s="10"/>
      <c r="N6" s="10"/>
    </row>
    <row r="7" spans="1:14" ht="15" customHeight="1" x14ac:dyDescent="0.2">
      <c r="A7" s="59" t="s">
        <v>3</v>
      </c>
      <c r="B7" s="59" t="s">
        <v>23</v>
      </c>
      <c r="C7" s="60">
        <v>0.3</v>
      </c>
      <c r="D7" s="60">
        <v>0.2</v>
      </c>
      <c r="E7" s="61">
        <v>0.26</v>
      </c>
      <c r="F7" s="61">
        <v>0.26800000000000002</v>
      </c>
      <c r="G7" s="118">
        <v>0.21099999999999999</v>
      </c>
      <c r="H7" s="62" t="s">
        <v>48</v>
      </c>
      <c r="I7" s="167">
        <v>0.18690000000000001</v>
      </c>
    </row>
    <row r="8" spans="1:14" ht="15" customHeight="1" x14ac:dyDescent="0.2">
      <c r="A8" s="59" t="s">
        <v>3</v>
      </c>
      <c r="B8" s="59" t="s">
        <v>4</v>
      </c>
      <c r="C8" s="60">
        <v>1.3</v>
      </c>
      <c r="D8" s="60">
        <v>1.3</v>
      </c>
      <c r="E8" s="61">
        <v>1.5</v>
      </c>
      <c r="F8" s="61">
        <v>1.583</v>
      </c>
      <c r="G8" s="118">
        <v>1.327</v>
      </c>
      <c r="H8" s="58">
        <v>1.37</v>
      </c>
      <c r="I8" s="58">
        <v>1.7010838203957381</v>
      </c>
    </row>
    <row r="9" spans="1:14" ht="15" customHeight="1" x14ac:dyDescent="0.2">
      <c r="A9" s="59" t="s">
        <v>3</v>
      </c>
      <c r="B9" s="59" t="s">
        <v>24</v>
      </c>
      <c r="C9" s="60">
        <v>0.4</v>
      </c>
      <c r="D9" s="60">
        <v>0.4</v>
      </c>
      <c r="E9" s="61">
        <v>0.36199999999999999</v>
      </c>
      <c r="F9" s="61">
        <v>0.39700000000000002</v>
      </c>
      <c r="G9" s="118">
        <v>0.40799999999999997</v>
      </c>
      <c r="H9" s="58">
        <v>0.437</v>
      </c>
      <c r="I9" s="58">
        <v>0.42054062507943801</v>
      </c>
    </row>
    <row r="10" spans="1:14" ht="15" customHeight="1" x14ac:dyDescent="0.2">
      <c r="A10" s="59" t="s">
        <v>3</v>
      </c>
      <c r="B10" s="59" t="s">
        <v>25</v>
      </c>
      <c r="C10" s="60">
        <v>0.3</v>
      </c>
      <c r="D10" s="60">
        <v>0.3</v>
      </c>
      <c r="E10" s="61">
        <v>0.36399999999999999</v>
      </c>
      <c r="F10" s="61">
        <v>0.29299999999999998</v>
      </c>
      <c r="G10" s="118">
        <v>0.29199999999999998</v>
      </c>
      <c r="H10" s="58">
        <v>0.06</v>
      </c>
      <c r="I10" s="58">
        <v>1.2E-2</v>
      </c>
      <c r="L10" s="75"/>
    </row>
    <row r="11" spans="1:14" ht="15" customHeight="1" x14ac:dyDescent="0.2">
      <c r="A11" s="59" t="s">
        <v>3</v>
      </c>
      <c r="B11" s="59" t="s">
        <v>26</v>
      </c>
      <c r="C11" s="60">
        <v>1.2</v>
      </c>
      <c r="D11" s="60">
        <v>1.3</v>
      </c>
      <c r="E11" s="61">
        <v>1.3049999999999999</v>
      </c>
      <c r="F11" s="61">
        <v>1.399</v>
      </c>
      <c r="G11" s="118">
        <v>1.3720000000000001</v>
      </c>
      <c r="H11" s="62">
        <v>1.1479999999999999</v>
      </c>
      <c r="I11" s="62">
        <v>1.3320000000000001</v>
      </c>
      <c r="L11" s="75"/>
    </row>
    <row r="12" spans="1:14" ht="15" customHeight="1" x14ac:dyDescent="0.2">
      <c r="A12" s="59" t="s">
        <v>3</v>
      </c>
      <c r="B12" s="59" t="s">
        <v>27</v>
      </c>
      <c r="C12" s="63">
        <v>0.02</v>
      </c>
      <c r="D12" s="63">
        <v>0.02</v>
      </c>
      <c r="E12" s="61">
        <v>0.02</v>
      </c>
      <c r="F12" s="61">
        <v>0.02</v>
      </c>
      <c r="G12" s="118">
        <v>0.02</v>
      </c>
      <c r="H12" s="58">
        <v>2.3E-2</v>
      </c>
      <c r="I12" s="58">
        <v>1.9449999999999999E-2</v>
      </c>
      <c r="L12" s="75"/>
    </row>
    <row r="13" spans="1:14" ht="15" customHeight="1" x14ac:dyDescent="0.2">
      <c r="A13" s="59" t="s">
        <v>3</v>
      </c>
      <c r="B13" s="59" t="s">
        <v>28</v>
      </c>
      <c r="C13" s="63">
        <v>0.02</v>
      </c>
      <c r="D13" s="63">
        <v>0.02</v>
      </c>
      <c r="E13" s="64" t="s">
        <v>48</v>
      </c>
      <c r="F13" s="64" t="s">
        <v>48</v>
      </c>
      <c r="G13" s="118" t="s">
        <v>48</v>
      </c>
      <c r="H13" s="58" t="s">
        <v>48</v>
      </c>
      <c r="I13" s="58" t="s">
        <v>48</v>
      </c>
      <c r="L13" s="75"/>
    </row>
    <row r="14" spans="1:14" ht="15" customHeight="1" x14ac:dyDescent="0.2">
      <c r="A14" s="59" t="s">
        <v>5</v>
      </c>
      <c r="B14" s="59" t="s">
        <v>36</v>
      </c>
      <c r="C14" s="63">
        <v>7.0000000000000007E-2</v>
      </c>
      <c r="D14" s="63">
        <v>7.0000000000000007E-2</v>
      </c>
      <c r="E14" s="61">
        <v>5.0000000000000001E-3</v>
      </c>
      <c r="F14" s="64" t="s">
        <v>48</v>
      </c>
      <c r="G14" s="118" t="s">
        <v>48</v>
      </c>
      <c r="H14" s="53" t="s">
        <v>48</v>
      </c>
      <c r="I14" s="53" t="s">
        <v>48</v>
      </c>
      <c r="L14" s="75"/>
    </row>
    <row r="15" spans="1:14" ht="15" customHeight="1" x14ac:dyDescent="0.2">
      <c r="A15" s="59" t="s">
        <v>5</v>
      </c>
      <c r="B15" s="59" t="s">
        <v>7</v>
      </c>
      <c r="C15" s="60">
        <v>0.2</v>
      </c>
      <c r="D15" s="60">
        <v>0.2</v>
      </c>
      <c r="E15" s="61">
        <v>0.19600000000000001</v>
      </c>
      <c r="F15" s="61">
        <v>0.19600000000000001</v>
      </c>
      <c r="G15" s="118">
        <v>0.218</v>
      </c>
      <c r="H15" s="58">
        <v>0.16500000000000001</v>
      </c>
      <c r="I15" s="58">
        <v>0.12256</v>
      </c>
    </row>
    <row r="16" spans="1:14" ht="15" customHeight="1" x14ac:dyDescent="0.2">
      <c r="A16" s="59" t="s">
        <v>5</v>
      </c>
      <c r="B16" s="59" t="s">
        <v>29</v>
      </c>
      <c r="C16" s="60">
        <v>0.8</v>
      </c>
      <c r="D16" s="60">
        <v>0.3</v>
      </c>
      <c r="E16" s="61">
        <v>7.0000000000000007E-2</v>
      </c>
      <c r="F16" s="61">
        <v>7.2999999999999995E-2</v>
      </c>
      <c r="G16" s="118">
        <v>0.04</v>
      </c>
      <c r="H16" s="58">
        <v>0.04</v>
      </c>
      <c r="I16" s="58" t="s">
        <v>48</v>
      </c>
    </row>
    <row r="17" spans="1:15" ht="15" customHeight="1" x14ac:dyDescent="0.2">
      <c r="A17" s="59" t="s">
        <v>5</v>
      </c>
      <c r="B17" s="59" t="s">
        <v>6</v>
      </c>
      <c r="C17" s="60">
        <v>0.2</v>
      </c>
      <c r="D17" s="60">
        <v>0.1</v>
      </c>
      <c r="E17" s="61">
        <v>0.19800000000000001</v>
      </c>
      <c r="F17" s="61">
        <v>0.192</v>
      </c>
      <c r="G17" s="118">
        <v>0.27100000000000002</v>
      </c>
      <c r="H17" s="58">
        <v>0.20300000000000001</v>
      </c>
      <c r="I17" s="58">
        <v>0.17269999999999999</v>
      </c>
    </row>
    <row r="18" spans="1:15" ht="15" customHeight="1" x14ac:dyDescent="0.2">
      <c r="A18" s="59" t="s">
        <v>5</v>
      </c>
      <c r="B18" s="59" t="s">
        <v>30</v>
      </c>
      <c r="C18" s="64" t="s">
        <v>48</v>
      </c>
      <c r="D18" s="64" t="s">
        <v>48</v>
      </c>
      <c r="E18" s="61">
        <v>4.0000000000000001E-3</v>
      </c>
      <c r="F18" s="64" t="s">
        <v>48</v>
      </c>
      <c r="G18" s="118" t="s">
        <v>48</v>
      </c>
      <c r="H18" s="62" t="s">
        <v>48</v>
      </c>
      <c r="I18" s="62" t="s">
        <v>48</v>
      </c>
    </row>
    <row r="19" spans="1:15" ht="15" customHeight="1" x14ac:dyDescent="0.2">
      <c r="A19" s="65" t="s">
        <v>92</v>
      </c>
      <c r="B19" s="65" t="s">
        <v>93</v>
      </c>
      <c r="C19" s="64" t="s">
        <v>48</v>
      </c>
      <c r="D19" s="64" t="s">
        <v>48</v>
      </c>
      <c r="E19" s="64" t="s">
        <v>48</v>
      </c>
      <c r="F19" s="64" t="s">
        <v>48</v>
      </c>
      <c r="G19" s="118" t="s">
        <v>48</v>
      </c>
      <c r="H19" s="62">
        <v>7.8E-2</v>
      </c>
      <c r="I19" s="62" t="s">
        <v>48</v>
      </c>
    </row>
    <row r="20" spans="1:15" ht="15" customHeight="1" x14ac:dyDescent="0.2">
      <c r="A20" s="59" t="s">
        <v>8</v>
      </c>
      <c r="B20" s="59" t="s">
        <v>31</v>
      </c>
      <c r="C20" s="60">
        <v>0.3</v>
      </c>
      <c r="D20" s="60">
        <v>0.3</v>
      </c>
      <c r="E20" s="61">
        <v>0.29099999999999998</v>
      </c>
      <c r="F20" s="61">
        <v>0.314</v>
      </c>
      <c r="G20" s="118">
        <v>0.31</v>
      </c>
      <c r="H20" s="58">
        <v>0.33900000000000002</v>
      </c>
      <c r="I20" s="58">
        <v>0.30099999999999999</v>
      </c>
    </row>
    <row r="21" spans="1:15" ht="15" customHeight="1" x14ac:dyDescent="0.2">
      <c r="A21" s="59" t="s">
        <v>8</v>
      </c>
      <c r="B21" s="59" t="s">
        <v>9</v>
      </c>
      <c r="C21" s="60">
        <v>0.1</v>
      </c>
      <c r="D21" s="63">
        <v>7.0000000000000007E-2</v>
      </c>
      <c r="E21" s="66">
        <v>0.08</v>
      </c>
      <c r="F21" s="66">
        <v>2.5999999999999999E-2</v>
      </c>
      <c r="G21" s="118">
        <v>1.7000000000000001E-2</v>
      </c>
      <c r="H21" s="58">
        <v>3.6999999999999998E-2</v>
      </c>
      <c r="I21" s="58">
        <v>7.9930000000000001E-2</v>
      </c>
    </row>
    <row r="22" spans="1:15" ht="15" customHeight="1" x14ac:dyDescent="0.2">
      <c r="A22" s="59" t="s">
        <v>10</v>
      </c>
      <c r="B22" s="59" t="s">
        <v>11</v>
      </c>
      <c r="C22" s="60">
        <v>0.4</v>
      </c>
      <c r="D22" s="60">
        <v>0.3</v>
      </c>
      <c r="E22" s="66">
        <v>0.26200000000000001</v>
      </c>
      <c r="F22" s="66">
        <v>0.253</v>
      </c>
      <c r="G22" s="118">
        <v>0.23</v>
      </c>
      <c r="H22" s="58">
        <v>0.251</v>
      </c>
      <c r="I22" s="58">
        <v>0.31247999999999998</v>
      </c>
    </row>
    <row r="23" spans="1:15" ht="15" customHeight="1" x14ac:dyDescent="0.2">
      <c r="A23" s="59" t="s">
        <v>10</v>
      </c>
      <c r="B23" s="59" t="s">
        <v>32</v>
      </c>
      <c r="C23" s="63">
        <v>0.03</v>
      </c>
      <c r="D23" s="63">
        <v>0.03</v>
      </c>
      <c r="E23" s="66">
        <v>2.9000000000000001E-2</v>
      </c>
      <c r="F23" s="66">
        <v>2.9000000000000001E-2</v>
      </c>
      <c r="G23" s="118">
        <v>3.1E-2</v>
      </c>
      <c r="H23" s="54">
        <v>0.03</v>
      </c>
      <c r="I23" s="54">
        <v>3.0929999999999999E-2</v>
      </c>
    </row>
    <row r="24" spans="1:15" ht="15" customHeight="1" x14ac:dyDescent="0.2">
      <c r="A24" s="59" t="s">
        <v>12</v>
      </c>
      <c r="B24" s="59" t="s">
        <v>13</v>
      </c>
      <c r="C24" s="60">
        <v>0.2</v>
      </c>
      <c r="D24" s="60">
        <v>0.4</v>
      </c>
      <c r="E24" s="61">
        <v>4.1000000000000002E-2</v>
      </c>
      <c r="F24" s="61">
        <v>3.9E-2</v>
      </c>
      <c r="G24" s="118">
        <v>0.02</v>
      </c>
      <c r="H24" s="58">
        <v>1.6E-2</v>
      </c>
      <c r="I24" s="58">
        <v>2.9333783959205297E-2</v>
      </c>
    </row>
    <row r="25" spans="1:15" x14ac:dyDescent="0.2">
      <c r="A25" s="59" t="s">
        <v>46</v>
      </c>
      <c r="B25" s="59" t="s">
        <v>47</v>
      </c>
      <c r="C25" s="60" t="s">
        <v>48</v>
      </c>
      <c r="D25" s="60" t="s">
        <v>48</v>
      </c>
      <c r="E25" s="61" t="s">
        <v>48</v>
      </c>
      <c r="F25" s="61">
        <v>1.7999999999999999E-2</v>
      </c>
      <c r="G25" s="118">
        <v>1.7000000000000001E-2</v>
      </c>
      <c r="H25" s="58">
        <v>6.0000000000000001E-3</v>
      </c>
      <c r="I25" s="58">
        <v>1.0500000000000001E-2</v>
      </c>
    </row>
    <row r="26" spans="1:15" x14ac:dyDescent="0.2">
      <c r="A26" s="56"/>
      <c r="B26" s="56"/>
      <c r="C26" s="56"/>
      <c r="D26" s="56"/>
      <c r="E26" s="56"/>
      <c r="F26" s="56"/>
      <c r="G26" s="56"/>
      <c r="H26" s="56"/>
      <c r="I26" s="56"/>
    </row>
    <row r="27" spans="1:15" x14ac:dyDescent="0.2">
      <c r="A27" s="56"/>
      <c r="B27" s="67" t="s">
        <v>17</v>
      </c>
      <c r="C27" s="60">
        <v>6.9</v>
      </c>
      <c r="D27" s="60">
        <v>6.4</v>
      </c>
      <c r="E27" s="61">
        <f>SUM(E4:E25)</f>
        <v>5.9109999999999996</v>
      </c>
      <c r="F27" s="61">
        <f>SUM(F4:F25)</f>
        <v>6.14</v>
      </c>
      <c r="G27" s="61">
        <f>SUM(G4:G25)</f>
        <v>5.7859999999999996</v>
      </c>
      <c r="H27" s="68">
        <f>SUM(H4:H25)</f>
        <v>5.2120000000000015</v>
      </c>
      <c r="I27" s="68">
        <f>SUM(I4:I25)</f>
        <v>5.7266582294343813</v>
      </c>
    </row>
    <row r="28" spans="1:15" x14ac:dyDescent="0.2">
      <c r="E28" s="18"/>
    </row>
    <row r="29" spans="1:15" ht="30" customHeight="1" x14ac:dyDescent="0.2">
      <c r="A29" s="178" t="s">
        <v>88</v>
      </c>
      <c r="B29" s="178"/>
      <c r="C29" s="178"/>
      <c r="E29" s="178" t="s">
        <v>88</v>
      </c>
      <c r="F29" s="178"/>
      <c r="G29" s="178"/>
      <c r="I29" s="178" t="s">
        <v>88</v>
      </c>
      <c r="J29" s="178"/>
      <c r="K29" s="178"/>
    </row>
    <row r="30" spans="1:15" x14ac:dyDescent="0.2">
      <c r="A30" s="180" t="s">
        <v>1</v>
      </c>
      <c r="B30" s="180" t="s">
        <v>87</v>
      </c>
      <c r="C30" s="22" t="s">
        <v>45</v>
      </c>
      <c r="E30" s="180" t="s">
        <v>1</v>
      </c>
      <c r="F30" s="180" t="s">
        <v>87</v>
      </c>
      <c r="G30" s="37" t="s">
        <v>45</v>
      </c>
      <c r="I30" s="178" t="s">
        <v>1</v>
      </c>
      <c r="J30" s="178" t="s">
        <v>87</v>
      </c>
      <c r="K30" s="126" t="s">
        <v>45</v>
      </c>
    </row>
    <row r="31" spans="1:15" x14ac:dyDescent="0.2">
      <c r="A31" s="180"/>
      <c r="B31" s="180"/>
      <c r="C31" s="21">
        <v>2016</v>
      </c>
      <c r="E31" s="180"/>
      <c r="F31" s="180"/>
      <c r="G31" s="37">
        <v>2017</v>
      </c>
      <c r="I31" s="178"/>
      <c r="J31" s="178"/>
      <c r="K31" s="126">
        <v>2018</v>
      </c>
      <c r="N31" s="155"/>
      <c r="O31" s="155"/>
    </row>
    <row r="32" spans="1:15" x14ac:dyDescent="0.2">
      <c r="A32" s="1" t="s">
        <v>19</v>
      </c>
      <c r="B32" s="1" t="s">
        <v>53</v>
      </c>
      <c r="C32" s="125">
        <v>0.109</v>
      </c>
      <c r="D32" s="134"/>
      <c r="E32" s="119" t="s">
        <v>19</v>
      </c>
      <c r="F32" s="50" t="s">
        <v>53</v>
      </c>
      <c r="G32" s="125">
        <v>0.114</v>
      </c>
      <c r="H32" s="134"/>
      <c r="I32" s="1" t="s">
        <v>19</v>
      </c>
      <c r="J32" s="50" t="s">
        <v>53</v>
      </c>
      <c r="K32" s="125">
        <v>0.128</v>
      </c>
      <c r="N32" s="159"/>
      <c r="O32" s="161"/>
    </row>
    <row r="33" spans="1:15" ht="24" x14ac:dyDescent="0.2">
      <c r="A33" s="1" t="s">
        <v>19</v>
      </c>
      <c r="B33" s="1" t="s">
        <v>54</v>
      </c>
      <c r="C33" s="125">
        <v>0.84299999999999997</v>
      </c>
      <c r="D33" s="135"/>
      <c r="E33" s="119" t="s">
        <v>19</v>
      </c>
      <c r="F33" s="50" t="s">
        <v>54</v>
      </c>
      <c r="G33" s="125">
        <v>0.84499999999999997</v>
      </c>
      <c r="H33" s="135"/>
      <c r="I33" s="1" t="s">
        <v>19</v>
      </c>
      <c r="J33" s="50" t="s">
        <v>54</v>
      </c>
      <c r="K33" s="125">
        <v>0.81399999999999995</v>
      </c>
      <c r="N33" s="159"/>
      <c r="O33" s="161"/>
    </row>
    <row r="34" spans="1:15" x14ac:dyDescent="0.2">
      <c r="A34" s="1" t="s">
        <v>19</v>
      </c>
      <c r="B34" s="1" t="s">
        <v>44</v>
      </c>
      <c r="C34" s="125">
        <v>0.05</v>
      </c>
      <c r="D34" s="117"/>
      <c r="E34" s="49" t="s">
        <v>19</v>
      </c>
      <c r="F34" s="50" t="s">
        <v>44</v>
      </c>
      <c r="G34" s="51">
        <v>0.05</v>
      </c>
      <c r="I34" s="1" t="s">
        <v>19</v>
      </c>
      <c r="J34" s="52" t="s">
        <v>44</v>
      </c>
      <c r="K34" s="3">
        <v>5.3249999999999999E-2</v>
      </c>
      <c r="N34" s="159"/>
      <c r="O34" s="161"/>
    </row>
    <row r="35" spans="1:15" x14ac:dyDescent="0.2">
      <c r="A35" s="1" t="s">
        <v>3</v>
      </c>
      <c r="B35" s="1" t="s">
        <v>55</v>
      </c>
      <c r="C35" s="125">
        <v>0.21099999999999999</v>
      </c>
      <c r="E35" s="49" t="s">
        <v>3</v>
      </c>
      <c r="F35" s="50" t="s">
        <v>56</v>
      </c>
      <c r="G35" s="51">
        <v>0.82799999999999996</v>
      </c>
      <c r="I35" s="1" t="s">
        <v>3</v>
      </c>
      <c r="J35" s="50" t="s">
        <v>55</v>
      </c>
      <c r="K35" s="51">
        <v>0.18690000000000001</v>
      </c>
      <c r="N35" s="159"/>
      <c r="O35" s="161"/>
    </row>
    <row r="36" spans="1:15" x14ac:dyDescent="0.2">
      <c r="A36" s="1" t="s">
        <v>3</v>
      </c>
      <c r="B36" s="1" t="s">
        <v>56</v>
      </c>
      <c r="C36" s="125">
        <v>0.74399999999999999</v>
      </c>
      <c r="E36" s="49" t="s">
        <v>3</v>
      </c>
      <c r="F36" s="50" t="s">
        <v>57</v>
      </c>
      <c r="G36" s="51">
        <v>0.249</v>
      </c>
      <c r="I36" s="1" t="s">
        <v>3</v>
      </c>
      <c r="J36" s="50" t="s">
        <v>56</v>
      </c>
      <c r="K36" s="51">
        <v>1.1995199999999999</v>
      </c>
      <c r="N36" s="160"/>
      <c r="O36" s="162"/>
    </row>
    <row r="37" spans="1:15" x14ac:dyDescent="0.2">
      <c r="A37" s="1" t="s">
        <v>3</v>
      </c>
      <c r="B37" s="1" t="s">
        <v>57</v>
      </c>
      <c r="C37" s="125">
        <v>0.23100000000000001</v>
      </c>
      <c r="E37" s="49" t="s">
        <v>3</v>
      </c>
      <c r="F37" s="50" t="s">
        <v>58</v>
      </c>
      <c r="G37" s="51">
        <v>0.20699999999999999</v>
      </c>
      <c r="I37" s="1" t="s">
        <v>3</v>
      </c>
      <c r="J37" s="50" t="s">
        <v>57</v>
      </c>
      <c r="K37" s="51">
        <v>0.23813000000000001</v>
      </c>
      <c r="N37" s="159"/>
      <c r="O37" s="161"/>
    </row>
    <row r="38" spans="1:15" x14ac:dyDescent="0.2">
      <c r="A38" s="1" t="s">
        <v>3</v>
      </c>
      <c r="B38" s="1" t="s">
        <v>58</v>
      </c>
      <c r="C38" s="125">
        <v>0.23699999999999999</v>
      </c>
      <c r="E38" s="49" t="s">
        <v>3</v>
      </c>
      <c r="F38" s="50" t="s">
        <v>59</v>
      </c>
      <c r="G38" s="51">
        <v>6.3E-2</v>
      </c>
      <c r="I38" s="1" t="s">
        <v>3</v>
      </c>
      <c r="J38" s="50" t="s">
        <v>58</v>
      </c>
      <c r="K38" s="51">
        <v>0.18090000000000001</v>
      </c>
      <c r="N38" s="159"/>
      <c r="O38" s="161"/>
    </row>
    <row r="39" spans="1:15" x14ac:dyDescent="0.2">
      <c r="A39" s="1" t="s">
        <v>3</v>
      </c>
      <c r="B39" s="1" t="s">
        <v>59</v>
      </c>
      <c r="C39" s="125">
        <v>9.1999999999999998E-2</v>
      </c>
      <c r="E39" s="49" t="s">
        <v>3</v>
      </c>
      <c r="F39" s="50" t="s">
        <v>60</v>
      </c>
      <c r="G39" s="51">
        <v>0.23599999999999999</v>
      </c>
      <c r="I39" s="1" t="s">
        <v>3</v>
      </c>
      <c r="J39" s="50" t="s">
        <v>59</v>
      </c>
      <c r="K39" s="51">
        <v>6.2460000000000002E-2</v>
      </c>
      <c r="N39" s="159"/>
      <c r="O39" s="161"/>
    </row>
    <row r="40" spans="1:15" x14ac:dyDescent="0.2">
      <c r="A40" s="1" t="s">
        <v>3</v>
      </c>
      <c r="B40" s="1" t="s">
        <v>60</v>
      </c>
      <c r="C40" s="125">
        <v>0.20799999999999999</v>
      </c>
      <c r="E40" s="49" t="s">
        <v>3</v>
      </c>
      <c r="F40" s="50" t="s">
        <v>61</v>
      </c>
      <c r="G40" s="51">
        <v>2.1999999999999999E-2</v>
      </c>
      <c r="I40" s="1" t="s">
        <v>3</v>
      </c>
      <c r="J40" s="50" t="s">
        <v>60</v>
      </c>
      <c r="K40" s="51">
        <v>0.21018999999999999</v>
      </c>
      <c r="N40" s="159"/>
      <c r="O40" s="161"/>
    </row>
    <row r="41" spans="1:15" x14ac:dyDescent="0.2">
      <c r="A41" s="1" t="s">
        <v>3</v>
      </c>
      <c r="B41" s="1" t="s">
        <v>61</v>
      </c>
      <c r="C41" s="125">
        <v>2.1999999999999999E-2</v>
      </c>
      <c r="E41" s="49" t="s">
        <v>3</v>
      </c>
      <c r="F41" s="50" t="s">
        <v>62</v>
      </c>
      <c r="G41" s="51">
        <v>0.20100000000000001</v>
      </c>
      <c r="I41" s="1" t="s">
        <v>3</v>
      </c>
      <c r="J41" s="50" t="s">
        <v>61</v>
      </c>
      <c r="K41" s="51">
        <v>2.0073820395738198E-2</v>
      </c>
      <c r="N41" s="159"/>
      <c r="O41" s="161"/>
    </row>
    <row r="42" spans="1:15" ht="15.75" customHeight="1" x14ac:dyDescent="0.2">
      <c r="A42" s="1" t="s">
        <v>3</v>
      </c>
      <c r="B42" s="1" t="s">
        <v>62</v>
      </c>
      <c r="C42" s="125">
        <v>0.2</v>
      </c>
      <c r="E42" s="49" t="s">
        <v>3</v>
      </c>
      <c r="F42" s="50" t="s">
        <v>63</v>
      </c>
      <c r="G42" s="51">
        <v>1.208</v>
      </c>
      <c r="I42" s="1" t="s">
        <v>3</v>
      </c>
      <c r="J42" s="50" t="s">
        <v>62</v>
      </c>
      <c r="K42" s="51">
        <v>0.210350625079438</v>
      </c>
      <c r="N42" s="159"/>
      <c r="O42" s="161"/>
    </row>
    <row r="43" spans="1:15" x14ac:dyDescent="0.2">
      <c r="A43" s="1" t="s">
        <v>3</v>
      </c>
      <c r="B43" s="1" t="s">
        <v>63</v>
      </c>
      <c r="C43" s="125">
        <v>1.6640000000000001</v>
      </c>
      <c r="D43" s="34"/>
      <c r="E43" s="49" t="s">
        <v>3</v>
      </c>
      <c r="F43" s="50" t="s">
        <v>64</v>
      </c>
      <c r="G43" s="51">
        <v>2.3E-2</v>
      </c>
      <c r="H43" s="32"/>
      <c r="I43" s="1" t="s">
        <v>3</v>
      </c>
      <c r="J43" s="143" t="s">
        <v>63</v>
      </c>
      <c r="K43" s="51">
        <v>1.3440000000000001</v>
      </c>
      <c r="N43" s="160"/>
      <c r="O43" s="162"/>
    </row>
    <row r="44" spans="1:15" x14ac:dyDescent="0.2">
      <c r="A44" s="1" t="s">
        <v>3</v>
      </c>
      <c r="B44" s="1" t="s">
        <v>64</v>
      </c>
      <c r="C44" s="125">
        <v>0.02</v>
      </c>
      <c r="D44" s="35"/>
      <c r="E44" s="49" t="s">
        <v>5</v>
      </c>
      <c r="F44" s="50" t="s">
        <v>65</v>
      </c>
      <c r="G44" s="51">
        <v>0.16500000000000001</v>
      </c>
      <c r="H44" s="32"/>
      <c r="I44" s="1" t="s">
        <v>3</v>
      </c>
      <c r="J44" s="50" t="s">
        <v>64</v>
      </c>
      <c r="K44" s="51">
        <v>1.9449999999999999E-2</v>
      </c>
      <c r="N44" s="159"/>
      <c r="O44" s="161"/>
    </row>
    <row r="45" spans="1:15" x14ac:dyDescent="0.2">
      <c r="A45" s="1" t="s">
        <v>5</v>
      </c>
      <c r="B45" s="1" t="s">
        <v>65</v>
      </c>
      <c r="C45" s="125">
        <v>0.218</v>
      </c>
      <c r="E45" s="49" t="s">
        <v>5</v>
      </c>
      <c r="F45" s="50" t="s">
        <v>66</v>
      </c>
      <c r="G45" s="51">
        <v>0.04</v>
      </c>
      <c r="I45" s="1" t="s">
        <v>5</v>
      </c>
      <c r="J45" s="50" t="s">
        <v>65</v>
      </c>
      <c r="K45" s="51">
        <v>0.12256</v>
      </c>
      <c r="N45" s="159"/>
      <c r="O45" s="161"/>
    </row>
    <row r="46" spans="1:15" x14ac:dyDescent="0.2">
      <c r="A46" s="1" t="s">
        <v>5</v>
      </c>
      <c r="B46" s="1" t="s">
        <v>66</v>
      </c>
      <c r="C46" s="125">
        <v>0.04</v>
      </c>
      <c r="E46" s="49" t="s">
        <v>5</v>
      </c>
      <c r="F46" s="50" t="s">
        <v>68</v>
      </c>
      <c r="G46" s="51">
        <v>3.0000000000000001E-3</v>
      </c>
      <c r="I46" s="1" t="s">
        <v>5</v>
      </c>
      <c r="J46" s="50" t="s">
        <v>69</v>
      </c>
      <c r="K46" s="51">
        <v>0.17269999999999999</v>
      </c>
      <c r="N46" s="159"/>
      <c r="O46" s="161"/>
    </row>
    <row r="47" spans="1:15" x14ac:dyDescent="0.2">
      <c r="A47" s="1" t="s">
        <v>5</v>
      </c>
      <c r="B47" s="1" t="s">
        <v>68</v>
      </c>
      <c r="C47" s="125">
        <v>3.0000000000000001E-3</v>
      </c>
      <c r="E47" s="49" t="s">
        <v>5</v>
      </c>
      <c r="F47" s="50" t="s">
        <v>69</v>
      </c>
      <c r="G47" s="51">
        <v>0.13800000000000001</v>
      </c>
      <c r="I47" s="1" t="s">
        <v>8</v>
      </c>
      <c r="J47" s="50" t="s">
        <v>70</v>
      </c>
      <c r="K47" s="125">
        <v>0.30099999999999999</v>
      </c>
      <c r="N47" s="159"/>
      <c r="O47" s="161"/>
    </row>
    <row r="48" spans="1:15" x14ac:dyDescent="0.2">
      <c r="A48" s="1" t="s">
        <v>5</v>
      </c>
      <c r="B48" s="1" t="s">
        <v>69</v>
      </c>
      <c r="C48" s="125">
        <v>0.26800000000000002</v>
      </c>
      <c r="E48" s="52" t="s">
        <v>92</v>
      </c>
      <c r="F48" s="52" t="s">
        <v>95</v>
      </c>
      <c r="G48" s="53">
        <v>1.4999999999999999E-2</v>
      </c>
      <c r="I48" s="1" t="s">
        <v>8</v>
      </c>
      <c r="J48" s="50" t="s">
        <v>71</v>
      </c>
      <c r="K48" s="125">
        <v>7.9930000000000001E-2</v>
      </c>
      <c r="N48" s="159"/>
      <c r="O48" s="161"/>
    </row>
    <row r="49" spans="1:15" x14ac:dyDescent="0.2">
      <c r="A49" s="1" t="s">
        <v>8</v>
      </c>
      <c r="B49" s="1" t="s">
        <v>70</v>
      </c>
      <c r="C49" s="125">
        <v>0.311</v>
      </c>
      <c r="E49" s="49" t="s">
        <v>5</v>
      </c>
      <c r="F49" s="50" t="s">
        <v>96</v>
      </c>
      <c r="G49" s="54">
        <v>6.3E-2</v>
      </c>
      <c r="I49" s="1" t="s">
        <v>10</v>
      </c>
      <c r="J49" s="50" t="s">
        <v>72</v>
      </c>
      <c r="K49" s="125">
        <v>0.20608000000000001</v>
      </c>
      <c r="N49" s="160"/>
      <c r="O49" s="162"/>
    </row>
    <row r="50" spans="1:15" x14ac:dyDescent="0.2">
      <c r="A50" s="1" t="s">
        <v>8</v>
      </c>
      <c r="B50" s="1" t="s">
        <v>71</v>
      </c>
      <c r="C50" s="125">
        <v>1.7000000000000001E-2</v>
      </c>
      <c r="E50" s="55" t="s">
        <v>92</v>
      </c>
      <c r="F50" s="55" t="s">
        <v>97</v>
      </c>
      <c r="G50" s="53">
        <v>6.2700000000000006E-2</v>
      </c>
      <c r="I50" s="1" t="s">
        <v>10</v>
      </c>
      <c r="J50" s="50" t="s">
        <v>73</v>
      </c>
      <c r="K50" s="125">
        <v>3.0929999999999999E-2</v>
      </c>
      <c r="N50" s="159"/>
      <c r="O50" s="161"/>
    </row>
    <row r="51" spans="1:15" x14ac:dyDescent="0.2">
      <c r="A51" s="1" t="s">
        <v>10</v>
      </c>
      <c r="B51" s="1" t="s">
        <v>72</v>
      </c>
      <c r="C51" s="125">
        <v>9.4E-2</v>
      </c>
      <c r="E51" s="49" t="s">
        <v>8</v>
      </c>
      <c r="F51" s="50" t="s">
        <v>70</v>
      </c>
      <c r="G51" s="51">
        <v>0.33900000000000002</v>
      </c>
      <c r="I51" s="1" t="s">
        <v>10</v>
      </c>
      <c r="J51" s="50" t="s">
        <v>74</v>
      </c>
      <c r="K51" s="125">
        <v>7.1099999999999997E-2</v>
      </c>
      <c r="N51" s="159"/>
      <c r="O51" s="161"/>
    </row>
    <row r="52" spans="1:15" x14ac:dyDescent="0.2">
      <c r="A52" s="1" t="s">
        <v>10</v>
      </c>
      <c r="B52" s="1" t="s">
        <v>73</v>
      </c>
      <c r="C52" s="125">
        <v>3.1E-2</v>
      </c>
      <c r="E52" s="49" t="s">
        <v>8</v>
      </c>
      <c r="F52" s="50" t="s">
        <v>71</v>
      </c>
      <c r="G52" s="51">
        <v>3.6999999999999998E-2</v>
      </c>
      <c r="I52" s="1" t="s">
        <v>10</v>
      </c>
      <c r="J52" s="50" t="s">
        <v>75</v>
      </c>
      <c r="K52" s="125">
        <v>3.5299999999999998E-2</v>
      </c>
      <c r="N52" s="159"/>
      <c r="O52" s="161"/>
    </row>
    <row r="53" spans="1:15" x14ac:dyDescent="0.2">
      <c r="A53" s="1" t="s">
        <v>10</v>
      </c>
      <c r="B53" s="1" t="s">
        <v>74</v>
      </c>
      <c r="C53" s="125">
        <v>9.6000000000000002E-2</v>
      </c>
      <c r="E53" s="49" t="s">
        <v>10</v>
      </c>
      <c r="F53" s="50" t="s">
        <v>72</v>
      </c>
      <c r="G53" s="51">
        <v>0.10100000000000001</v>
      </c>
      <c r="I53" s="1" t="s">
        <v>12</v>
      </c>
      <c r="J53" s="50" t="s">
        <v>76</v>
      </c>
      <c r="K53" s="125">
        <v>2.9333783959205297E-2</v>
      </c>
      <c r="N53" s="159"/>
      <c r="O53" s="161"/>
    </row>
    <row r="54" spans="1:15" ht="24" x14ac:dyDescent="0.2">
      <c r="A54" s="1" t="s">
        <v>10</v>
      </c>
      <c r="B54" s="1" t="s">
        <v>75</v>
      </c>
      <c r="C54" s="125">
        <v>0.04</v>
      </c>
      <c r="E54" s="49" t="s">
        <v>10</v>
      </c>
      <c r="F54" s="50" t="s">
        <v>73</v>
      </c>
      <c r="G54" s="51">
        <v>0.03</v>
      </c>
      <c r="I54" s="1" t="s">
        <v>46</v>
      </c>
      <c r="J54" s="50" t="s">
        <v>77</v>
      </c>
      <c r="K54" s="125">
        <v>1.0500000000000001E-2</v>
      </c>
      <c r="N54" s="159"/>
      <c r="O54" s="161"/>
    </row>
    <row r="55" spans="1:15" x14ac:dyDescent="0.2">
      <c r="A55" s="1" t="s">
        <v>12</v>
      </c>
      <c r="B55" s="1" t="s">
        <v>76</v>
      </c>
      <c r="C55" s="125">
        <v>0.02</v>
      </c>
      <c r="E55" s="49" t="s">
        <v>10</v>
      </c>
      <c r="F55" s="50" t="s">
        <v>74</v>
      </c>
      <c r="G55" s="51">
        <v>0.113</v>
      </c>
    </row>
    <row r="56" spans="1:15" x14ac:dyDescent="0.2">
      <c r="A56" s="1" t="s">
        <v>46</v>
      </c>
      <c r="B56" s="1" t="s">
        <v>77</v>
      </c>
      <c r="C56" s="125">
        <v>1.7000000000000001E-2</v>
      </c>
      <c r="E56" s="49" t="s">
        <v>10</v>
      </c>
      <c r="F56" s="50" t="s">
        <v>75</v>
      </c>
      <c r="G56" s="51">
        <f>0.037</f>
        <v>3.6999999999999998E-2</v>
      </c>
      <c r="J56" s="57" t="s">
        <v>17</v>
      </c>
      <c r="K56" s="58">
        <f>SUM(K32:K54)</f>
        <v>5.7266582294343822</v>
      </c>
    </row>
    <row r="57" spans="1:15" x14ac:dyDescent="0.2">
      <c r="E57" s="49" t="s">
        <v>12</v>
      </c>
      <c r="F57" s="50" t="s">
        <v>76</v>
      </c>
      <c r="G57" s="51">
        <v>1.6E-2</v>
      </c>
    </row>
    <row r="58" spans="1:15" ht="24" x14ac:dyDescent="0.2">
      <c r="B58" s="23" t="s">
        <v>17</v>
      </c>
      <c r="C58" s="6">
        <f>SUM(C32:C56)</f>
        <v>5.7860000000000005</v>
      </c>
      <c r="E58" s="49" t="s">
        <v>46</v>
      </c>
      <c r="F58" s="50" t="s">
        <v>77</v>
      </c>
      <c r="G58" s="51">
        <v>6.0000000000000001E-3</v>
      </c>
    </row>
    <row r="59" spans="1:15" x14ac:dyDescent="0.2">
      <c r="E59" s="56"/>
      <c r="F59" s="56"/>
      <c r="G59" s="56"/>
    </row>
    <row r="60" spans="1:15" x14ac:dyDescent="0.2">
      <c r="E60" s="56"/>
      <c r="F60" s="57" t="s">
        <v>17</v>
      </c>
      <c r="G60" s="58">
        <f>SUM(G32:G58)</f>
        <v>5.2117000000000004</v>
      </c>
    </row>
  </sheetData>
  <mergeCells count="13">
    <mergeCell ref="A1:I1"/>
    <mergeCell ref="I29:K29"/>
    <mergeCell ref="E29:G29"/>
    <mergeCell ref="E30:E31"/>
    <mergeCell ref="F30:F31"/>
    <mergeCell ref="A29:C29"/>
    <mergeCell ref="A30:A31"/>
    <mergeCell ref="B30:B31"/>
    <mergeCell ref="I30:I31"/>
    <mergeCell ref="J30:J31"/>
    <mergeCell ref="A2:A3"/>
    <mergeCell ref="B2:B3"/>
    <mergeCell ref="C2:I2"/>
  </mergeCells>
  <pageMargins left="0.7" right="0.7" top="0.75" bottom="0.75" header="0.3" footer="0.3"/>
  <pageSetup orientation="portrait" r:id="rId1"/>
  <ignoredErrors>
    <ignoredError sqref="C5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7"/>
  <sheetViews>
    <sheetView tabSelected="1" topLeftCell="A21" zoomScale="138" workbookViewId="0">
      <selection activeCell="H33" sqref="H33"/>
    </sheetView>
  </sheetViews>
  <sheetFormatPr baseColWidth="10" defaultColWidth="11.5" defaultRowHeight="15" x14ac:dyDescent="0.2"/>
  <cols>
    <col min="1" max="1" width="30.6640625" customWidth="1"/>
    <col min="2" max="2" width="20.6640625" customWidth="1"/>
    <col min="3" max="3" width="11.6640625" customWidth="1"/>
    <col min="4" max="4" width="14.5" customWidth="1"/>
    <col min="5" max="5" width="17.33203125" customWidth="1"/>
    <col min="6" max="6" width="17.5" customWidth="1"/>
    <col min="9" max="9" width="13.5" customWidth="1"/>
    <col min="10" max="10" width="15.1640625" customWidth="1"/>
    <col min="11" max="11" width="15.6640625" customWidth="1"/>
    <col min="14" max="14" width="13.83203125" customWidth="1"/>
    <col min="15" max="15" width="15.5" customWidth="1"/>
  </cols>
  <sheetData>
    <row r="1" spans="1:14" ht="30" customHeight="1" x14ac:dyDescent="0.2">
      <c r="A1" s="189" t="s">
        <v>33</v>
      </c>
      <c r="B1" s="173"/>
      <c r="C1" s="173"/>
      <c r="D1" s="173"/>
      <c r="E1" s="173"/>
      <c r="F1" s="173"/>
      <c r="G1" s="173"/>
      <c r="H1" s="173"/>
      <c r="I1" s="173"/>
    </row>
    <row r="2" spans="1:14" x14ac:dyDescent="0.2">
      <c r="A2" s="190" t="s">
        <v>1</v>
      </c>
      <c r="B2" s="190" t="s">
        <v>2</v>
      </c>
      <c r="C2" s="193" t="s">
        <v>45</v>
      </c>
      <c r="D2" s="194"/>
      <c r="E2" s="194"/>
      <c r="F2" s="194"/>
      <c r="G2" s="194"/>
      <c r="H2" s="194"/>
      <c r="I2" s="194"/>
      <c r="N2" s="75"/>
    </row>
    <row r="3" spans="1:14" ht="14.5" customHeight="1" x14ac:dyDescent="0.2">
      <c r="A3" s="190"/>
      <c r="B3" s="190"/>
      <c r="C3" s="20">
        <v>2012</v>
      </c>
      <c r="D3" s="20">
        <v>2013</v>
      </c>
      <c r="E3" s="20">
        <v>2014</v>
      </c>
      <c r="F3" s="20">
        <v>2015</v>
      </c>
      <c r="G3" s="48">
        <v>2016</v>
      </c>
      <c r="H3" s="72">
        <v>2017</v>
      </c>
      <c r="I3" s="72">
        <v>2018</v>
      </c>
      <c r="N3" s="76"/>
    </row>
    <row r="4" spans="1:14" ht="15" customHeight="1" x14ac:dyDescent="0.2">
      <c r="A4" s="1" t="s">
        <v>19</v>
      </c>
      <c r="B4" s="1" t="s">
        <v>20</v>
      </c>
      <c r="C4" s="3" t="s">
        <v>48</v>
      </c>
      <c r="D4" s="3" t="s">
        <v>48</v>
      </c>
      <c r="E4" s="3" t="s">
        <v>48</v>
      </c>
      <c r="F4" s="3" t="s">
        <v>48</v>
      </c>
      <c r="G4" s="44">
        <v>1.7999999999999999E-2</v>
      </c>
      <c r="H4" s="54">
        <v>6.0000000000000001E-3</v>
      </c>
      <c r="I4" s="163">
        <v>1E-3</v>
      </c>
      <c r="N4" s="77"/>
    </row>
    <row r="5" spans="1:14" ht="15" customHeight="1" x14ac:dyDescent="0.2">
      <c r="A5" s="1" t="s">
        <v>19</v>
      </c>
      <c r="B5" s="1" t="s">
        <v>22</v>
      </c>
      <c r="C5" s="3">
        <v>0.2</v>
      </c>
      <c r="D5" s="3">
        <v>0.2</v>
      </c>
      <c r="E5" s="3">
        <v>1.7000000000000001E-2</v>
      </c>
      <c r="F5" s="3">
        <v>3.0000000000000002E-2</v>
      </c>
      <c r="G5" s="163">
        <v>0.02</v>
      </c>
      <c r="H5" s="163">
        <v>1.5650000000000001E-2</v>
      </c>
      <c r="I5" s="163">
        <v>1.737E-2</v>
      </c>
      <c r="N5" s="77"/>
    </row>
    <row r="6" spans="1:14" ht="15" customHeight="1" x14ac:dyDescent="0.2">
      <c r="A6" s="1" t="s">
        <v>19</v>
      </c>
      <c r="B6" s="1" t="s">
        <v>34</v>
      </c>
      <c r="C6" s="3" t="s">
        <v>48</v>
      </c>
      <c r="D6" s="3" t="s">
        <v>48</v>
      </c>
      <c r="E6" s="3">
        <v>0.17299999999999999</v>
      </c>
      <c r="F6" s="3">
        <v>0.17100000000000001</v>
      </c>
      <c r="G6" s="163">
        <v>0.15</v>
      </c>
      <c r="H6" s="163">
        <v>0.14725833333333302</v>
      </c>
      <c r="I6" s="163">
        <v>0.14220000000000002</v>
      </c>
      <c r="N6" s="77"/>
    </row>
    <row r="7" spans="1:14" ht="15" customHeight="1" x14ac:dyDescent="0.2">
      <c r="A7" s="1" t="s">
        <v>19</v>
      </c>
      <c r="B7" s="1" t="s">
        <v>44</v>
      </c>
      <c r="C7" s="3">
        <v>0.1</v>
      </c>
      <c r="D7" s="3">
        <v>0.1</v>
      </c>
      <c r="E7" s="3">
        <v>2E-3</v>
      </c>
      <c r="F7" s="3" t="s">
        <v>48</v>
      </c>
      <c r="G7" s="44" t="s">
        <v>48</v>
      </c>
      <c r="H7" s="54">
        <v>0</v>
      </c>
      <c r="I7" s="163" t="s">
        <v>48</v>
      </c>
      <c r="N7" s="77"/>
    </row>
    <row r="8" spans="1:14" ht="15" customHeight="1" x14ac:dyDescent="0.2">
      <c r="A8" s="1" t="s">
        <v>3</v>
      </c>
      <c r="B8" s="1" t="s">
        <v>4</v>
      </c>
      <c r="C8" s="3">
        <v>1.0999999999999999E-2</v>
      </c>
      <c r="D8" s="3">
        <v>3.1E-2</v>
      </c>
      <c r="E8" s="3">
        <v>5.8999999999999997E-2</v>
      </c>
      <c r="F8" s="3">
        <v>6.9000000000000006E-2</v>
      </c>
      <c r="G8" s="3">
        <v>5.5E-2</v>
      </c>
      <c r="H8" s="3">
        <v>0.122</v>
      </c>
      <c r="I8" s="3">
        <v>5.7000000000000002E-2</v>
      </c>
      <c r="N8" s="77"/>
    </row>
    <row r="9" spans="1:14" ht="15" customHeight="1" x14ac:dyDescent="0.2">
      <c r="A9" s="1" t="s">
        <v>3</v>
      </c>
      <c r="B9" s="1" t="s">
        <v>49</v>
      </c>
      <c r="C9" s="3">
        <v>0.01</v>
      </c>
      <c r="D9" s="3">
        <v>4.0000000000000001E-3</v>
      </c>
      <c r="E9" s="3">
        <v>4.0000000000000001E-3</v>
      </c>
      <c r="F9" s="3" t="s">
        <v>48</v>
      </c>
      <c r="G9" s="3" t="s">
        <v>48</v>
      </c>
      <c r="H9" s="3" t="s">
        <v>48</v>
      </c>
      <c r="I9" s="3" t="s">
        <v>48</v>
      </c>
      <c r="N9" s="77"/>
    </row>
    <row r="10" spans="1:14" ht="15" customHeight="1" x14ac:dyDescent="0.2">
      <c r="A10" s="1" t="s">
        <v>3</v>
      </c>
      <c r="B10" s="1" t="s">
        <v>24</v>
      </c>
      <c r="C10" s="3">
        <v>0.01</v>
      </c>
      <c r="D10" s="3">
        <v>0.01</v>
      </c>
      <c r="E10" s="3">
        <v>0.01</v>
      </c>
      <c r="F10" s="3">
        <v>8.0000000000000002E-3</v>
      </c>
      <c r="G10" s="3">
        <v>1.2E-2</v>
      </c>
      <c r="H10" s="3">
        <v>1.0999999999999999E-2</v>
      </c>
      <c r="I10" s="3" t="s">
        <v>48</v>
      </c>
      <c r="N10" s="77"/>
    </row>
    <row r="11" spans="1:14" ht="15" customHeight="1" x14ac:dyDescent="0.2">
      <c r="A11" s="1" t="s">
        <v>3</v>
      </c>
      <c r="B11" s="1" t="s">
        <v>35</v>
      </c>
      <c r="C11" s="3">
        <v>0.3</v>
      </c>
      <c r="D11" s="3">
        <v>0.2</v>
      </c>
      <c r="E11" s="3">
        <v>0.215</v>
      </c>
      <c r="F11" s="3">
        <v>0.315</v>
      </c>
      <c r="G11" s="3">
        <v>0.222</v>
      </c>
      <c r="H11" s="3">
        <v>0.16900000000000001</v>
      </c>
      <c r="I11" s="3">
        <v>0.17899999999999999</v>
      </c>
      <c r="N11" s="77"/>
    </row>
    <row r="12" spans="1:14" ht="15" customHeight="1" x14ac:dyDescent="0.2">
      <c r="A12" s="1" t="s">
        <v>3</v>
      </c>
      <c r="B12" s="1" t="s">
        <v>28</v>
      </c>
      <c r="C12" s="3">
        <v>0.02</v>
      </c>
      <c r="D12" s="3">
        <v>0.01</v>
      </c>
      <c r="E12" s="3" t="s">
        <v>48</v>
      </c>
      <c r="F12" s="3" t="s">
        <v>48</v>
      </c>
      <c r="G12" s="3" t="s">
        <v>48</v>
      </c>
      <c r="H12" s="3" t="s">
        <v>48</v>
      </c>
      <c r="I12" s="3" t="s">
        <v>48</v>
      </c>
      <c r="N12" s="78"/>
    </row>
    <row r="13" spans="1:14" ht="15" customHeight="1" x14ac:dyDescent="0.2">
      <c r="A13" s="1" t="s">
        <v>5</v>
      </c>
      <c r="B13" s="1" t="s">
        <v>36</v>
      </c>
      <c r="C13" s="3">
        <v>0.02</v>
      </c>
      <c r="D13" s="3">
        <v>0.03</v>
      </c>
      <c r="E13" s="3">
        <v>1.7000000000000001E-2</v>
      </c>
      <c r="F13" s="3" t="s">
        <v>48</v>
      </c>
      <c r="G13" s="3" t="s">
        <v>48</v>
      </c>
      <c r="H13" s="3" t="s">
        <v>48</v>
      </c>
      <c r="I13" s="3" t="s">
        <v>48</v>
      </c>
      <c r="N13" s="77"/>
    </row>
    <row r="14" spans="1:14" ht="15" customHeight="1" x14ac:dyDescent="0.2">
      <c r="A14" s="1" t="s">
        <v>5</v>
      </c>
      <c r="B14" s="1" t="s">
        <v>6</v>
      </c>
      <c r="C14" s="3">
        <v>6.0000000000000001E-3</v>
      </c>
      <c r="D14" s="3">
        <v>1E-3</v>
      </c>
      <c r="E14" s="3">
        <v>2.7999999999999997E-2</v>
      </c>
      <c r="F14" s="3">
        <v>1.409E-2</v>
      </c>
      <c r="G14" s="44">
        <v>2.1000000000000001E-2</v>
      </c>
      <c r="H14" s="54">
        <v>0.03</v>
      </c>
      <c r="I14" s="163">
        <v>3.1320000000000001E-2</v>
      </c>
      <c r="N14" s="77"/>
    </row>
    <row r="15" spans="1:14" ht="15" customHeight="1" x14ac:dyDescent="0.2">
      <c r="A15" s="1" t="s">
        <v>8</v>
      </c>
      <c r="B15" s="1" t="s">
        <v>31</v>
      </c>
      <c r="C15" s="3">
        <v>0.02</v>
      </c>
      <c r="D15" s="3">
        <v>0.06</v>
      </c>
      <c r="E15" s="3">
        <v>4.4999999999999998E-2</v>
      </c>
      <c r="F15" s="3">
        <v>4.4999999999999998E-2</v>
      </c>
      <c r="G15" s="44">
        <v>4.2000000000000003E-2</v>
      </c>
      <c r="H15" s="54">
        <v>5.8999999999999997E-2</v>
      </c>
      <c r="I15" s="163">
        <v>0.05</v>
      </c>
      <c r="N15" s="77"/>
    </row>
    <row r="16" spans="1:14" ht="15" customHeight="1" x14ac:dyDescent="0.2">
      <c r="A16" s="1" t="s">
        <v>8</v>
      </c>
      <c r="B16" s="1" t="s">
        <v>9</v>
      </c>
      <c r="C16" s="3">
        <v>0.1</v>
      </c>
      <c r="D16" s="3">
        <v>0.1</v>
      </c>
      <c r="E16" s="3">
        <v>0.114</v>
      </c>
      <c r="F16" s="3">
        <v>0.156</v>
      </c>
      <c r="G16" s="44">
        <v>0.17499999999999999</v>
      </c>
      <c r="H16" s="54">
        <v>0.19900000000000001</v>
      </c>
      <c r="I16" s="163">
        <v>0.1535</v>
      </c>
      <c r="N16" s="77"/>
    </row>
    <row r="17" spans="1:15" ht="15" customHeight="1" x14ac:dyDescent="0.2">
      <c r="A17" s="1" t="s">
        <v>10</v>
      </c>
      <c r="B17" s="1" t="s">
        <v>11</v>
      </c>
      <c r="C17" s="3">
        <v>0.2</v>
      </c>
      <c r="D17" s="3">
        <v>0.2</v>
      </c>
      <c r="E17" s="3">
        <v>0.23899999999999999</v>
      </c>
      <c r="F17" s="3">
        <v>0.223</v>
      </c>
      <c r="G17" s="44">
        <v>0.27</v>
      </c>
      <c r="H17" s="54">
        <v>0.28000000000000003</v>
      </c>
      <c r="I17" s="163">
        <v>0.23669999999999999</v>
      </c>
      <c r="N17" s="77"/>
    </row>
    <row r="18" spans="1:15" ht="15" customHeight="1" x14ac:dyDescent="0.2">
      <c r="A18" s="1" t="s">
        <v>12</v>
      </c>
      <c r="B18" s="1" t="s">
        <v>37</v>
      </c>
      <c r="C18" s="3">
        <v>0.2</v>
      </c>
      <c r="D18" s="3">
        <v>0.2</v>
      </c>
      <c r="E18" s="3">
        <v>0.123</v>
      </c>
      <c r="F18" s="3">
        <v>0.114</v>
      </c>
      <c r="G18" s="44">
        <v>0.14199999999999999</v>
      </c>
      <c r="H18" s="54">
        <v>0.111</v>
      </c>
      <c r="I18" s="163">
        <v>0.129</v>
      </c>
      <c r="N18" s="77"/>
    </row>
    <row r="19" spans="1:15" ht="15" customHeight="1" x14ac:dyDescent="0.2">
      <c r="A19" s="1" t="s">
        <v>12</v>
      </c>
      <c r="B19" s="1" t="s">
        <v>14</v>
      </c>
      <c r="C19" s="3">
        <v>0.01</v>
      </c>
      <c r="D19" s="3" t="s">
        <v>48</v>
      </c>
      <c r="E19" s="3" t="s">
        <v>48</v>
      </c>
      <c r="F19" s="3" t="s">
        <v>48</v>
      </c>
      <c r="G19" s="44" t="s">
        <v>48</v>
      </c>
      <c r="H19" s="54" t="s">
        <v>48</v>
      </c>
      <c r="I19" s="163" t="s">
        <v>48</v>
      </c>
      <c r="N19" s="79"/>
    </row>
    <row r="20" spans="1:15" x14ac:dyDescent="0.2">
      <c r="A20" s="1" t="s">
        <v>15</v>
      </c>
      <c r="B20" s="1" t="s">
        <v>16</v>
      </c>
      <c r="C20" s="3">
        <v>0.2</v>
      </c>
      <c r="D20" s="3">
        <v>0.2</v>
      </c>
      <c r="E20" s="3">
        <v>0.153</v>
      </c>
      <c r="F20" s="3">
        <v>0.16300000000000001</v>
      </c>
      <c r="G20" s="44">
        <v>0.26800000000000002</v>
      </c>
      <c r="H20" s="54">
        <v>0.24399999999999999</v>
      </c>
      <c r="I20" s="163">
        <v>0.20075999999999999</v>
      </c>
      <c r="N20" s="10"/>
    </row>
    <row r="21" spans="1:15" x14ac:dyDescent="0.2">
      <c r="N21" s="10"/>
    </row>
    <row r="22" spans="1:15" x14ac:dyDescent="0.2">
      <c r="B22" s="5" t="s">
        <v>17</v>
      </c>
      <c r="C22" s="2">
        <v>1.4</v>
      </c>
      <c r="D22" s="2">
        <v>1.3</v>
      </c>
      <c r="E22" s="3">
        <f>SUM(E4:E20)</f>
        <v>1.1990000000000001</v>
      </c>
      <c r="F22" s="3">
        <f>SUM(F4:F20)</f>
        <v>1.3080900000000002</v>
      </c>
      <c r="G22" s="3">
        <f>SUM(G4:G20)</f>
        <v>1.395</v>
      </c>
      <c r="H22" s="115">
        <f>SUM(H4:H20)</f>
        <v>1.3939083333333331</v>
      </c>
      <c r="I22" s="115">
        <f>SUM(I4:I20)</f>
        <v>1.1978500000000001</v>
      </c>
      <c r="N22" s="10"/>
    </row>
    <row r="24" spans="1:15" ht="30" customHeight="1" x14ac:dyDescent="0.2">
      <c r="A24" s="192" t="s">
        <v>89</v>
      </c>
      <c r="B24" s="192"/>
      <c r="C24" s="192"/>
      <c r="E24" s="192" t="s">
        <v>89</v>
      </c>
      <c r="F24" s="192"/>
      <c r="G24" s="192"/>
      <c r="I24" s="192" t="s">
        <v>89</v>
      </c>
      <c r="J24" s="192"/>
      <c r="K24" s="192"/>
    </row>
    <row r="25" spans="1:15" x14ac:dyDescent="0.2">
      <c r="A25" s="178" t="s">
        <v>1</v>
      </c>
      <c r="B25" s="178" t="s">
        <v>87</v>
      </c>
      <c r="C25" s="26" t="s">
        <v>78</v>
      </c>
      <c r="E25" s="178" t="s">
        <v>1</v>
      </c>
      <c r="F25" s="178" t="s">
        <v>87</v>
      </c>
      <c r="G25" s="26" t="s">
        <v>78</v>
      </c>
      <c r="I25" s="178" t="s">
        <v>1</v>
      </c>
      <c r="J25" s="178" t="s">
        <v>87</v>
      </c>
      <c r="K25" s="129" t="s">
        <v>78</v>
      </c>
    </row>
    <row r="26" spans="1:15" x14ac:dyDescent="0.2">
      <c r="A26" s="178"/>
      <c r="B26" s="178"/>
      <c r="C26" s="24">
        <v>2016</v>
      </c>
      <c r="E26" s="178"/>
      <c r="F26" s="178"/>
      <c r="G26" s="24">
        <v>2017</v>
      </c>
      <c r="I26" s="178"/>
      <c r="J26" s="178"/>
      <c r="K26" s="24">
        <v>2018</v>
      </c>
      <c r="N26" s="155"/>
      <c r="O26" s="155"/>
    </row>
    <row r="27" spans="1:15" x14ac:dyDescent="0.2">
      <c r="A27" s="1" t="s">
        <v>19</v>
      </c>
      <c r="B27" s="1" t="s">
        <v>53</v>
      </c>
      <c r="C27" s="122">
        <v>1.7999999999999999E-2</v>
      </c>
      <c r="D27" s="134"/>
      <c r="E27" s="123" t="s">
        <v>19</v>
      </c>
      <c r="F27" s="40" t="s">
        <v>53</v>
      </c>
      <c r="G27" s="124">
        <v>6.0000000000000001E-3</v>
      </c>
      <c r="H27" s="134"/>
      <c r="I27" s="1" t="s">
        <v>19</v>
      </c>
      <c r="J27" s="1" t="s">
        <v>53</v>
      </c>
      <c r="K27" s="124">
        <v>1E-3</v>
      </c>
      <c r="L27" s="152"/>
      <c r="N27" s="152"/>
      <c r="O27" s="152"/>
    </row>
    <row r="28" spans="1:15" x14ac:dyDescent="0.2">
      <c r="A28" s="1" t="s">
        <v>19</v>
      </c>
      <c r="B28" s="1" t="s">
        <v>54</v>
      </c>
      <c r="C28" s="124">
        <v>0.17</v>
      </c>
      <c r="D28" s="132"/>
      <c r="E28" s="123" t="s">
        <v>19</v>
      </c>
      <c r="F28" s="40" t="s">
        <v>54</v>
      </c>
      <c r="G28" s="124">
        <v>0.16300000000000001</v>
      </c>
      <c r="H28" s="132"/>
      <c r="I28" s="1" t="s">
        <v>19</v>
      </c>
      <c r="J28" s="1" t="s">
        <v>54</v>
      </c>
      <c r="K28" s="124">
        <v>0.15800000000000003</v>
      </c>
      <c r="N28" s="152"/>
      <c r="O28" s="152"/>
    </row>
    <row r="29" spans="1:15" x14ac:dyDescent="0.2">
      <c r="A29" s="1" t="s">
        <v>19</v>
      </c>
      <c r="B29" s="1" t="s">
        <v>44</v>
      </c>
      <c r="C29" s="17">
        <v>3.0000000000000001E-3</v>
      </c>
      <c r="E29" s="40" t="s">
        <v>19</v>
      </c>
      <c r="F29" s="40" t="s">
        <v>44</v>
      </c>
      <c r="G29" s="43">
        <f>0.001</f>
        <v>1E-3</v>
      </c>
      <c r="I29" s="1" t="s">
        <v>19</v>
      </c>
      <c r="J29" s="1" t="s">
        <v>44</v>
      </c>
      <c r="K29" s="43">
        <v>1.57E-3</v>
      </c>
      <c r="N29" s="152"/>
      <c r="O29" s="152"/>
    </row>
    <row r="30" spans="1:15" x14ac:dyDescent="0.2">
      <c r="A30" s="1" t="s">
        <v>3</v>
      </c>
      <c r="B30" s="1" t="s">
        <v>55</v>
      </c>
      <c r="C30" s="17">
        <v>8.9999999999999993E-3</v>
      </c>
      <c r="E30" s="40" t="s">
        <v>3</v>
      </c>
      <c r="F30" s="40" t="s">
        <v>55</v>
      </c>
      <c r="G30" s="43">
        <f>0.007</f>
        <v>7.0000000000000001E-3</v>
      </c>
      <c r="I30" s="1" t="s">
        <v>3</v>
      </c>
      <c r="J30" s="1" t="s">
        <v>55</v>
      </c>
      <c r="K30" s="43">
        <v>5.7000000000000002E-3</v>
      </c>
      <c r="N30" s="152"/>
      <c r="O30" s="152"/>
    </row>
    <row r="31" spans="1:15" x14ac:dyDescent="0.2">
      <c r="A31" s="1" t="s">
        <v>3</v>
      </c>
      <c r="B31" s="1" t="s">
        <v>56</v>
      </c>
      <c r="C31" s="17">
        <v>5.0000000000000001E-3</v>
      </c>
      <c r="E31" s="40" t="s">
        <v>3</v>
      </c>
      <c r="F31" s="40" t="s">
        <v>56</v>
      </c>
      <c r="G31" s="43">
        <f>0.069</f>
        <v>6.9000000000000006E-2</v>
      </c>
      <c r="I31" s="1" t="s">
        <v>3</v>
      </c>
      <c r="J31" s="1" t="s">
        <v>56</v>
      </c>
      <c r="K31" s="124">
        <v>1.074E-2</v>
      </c>
      <c r="N31" s="152"/>
      <c r="O31" s="152"/>
    </row>
    <row r="32" spans="1:15" x14ac:dyDescent="0.2">
      <c r="A32" s="1" t="s">
        <v>3</v>
      </c>
      <c r="B32" s="1" t="s">
        <v>58</v>
      </c>
      <c r="C32" s="17">
        <v>0.04</v>
      </c>
      <c r="E32" s="40" t="s">
        <v>3</v>
      </c>
      <c r="F32" s="40" t="s">
        <v>57</v>
      </c>
      <c r="G32" s="43">
        <f>0.5/1000</f>
        <v>5.0000000000000001E-4</v>
      </c>
      <c r="I32" s="1" t="s">
        <v>3</v>
      </c>
      <c r="J32" s="1" t="s">
        <v>57</v>
      </c>
      <c r="K32" s="124">
        <v>5.1000000000000004E-4</v>
      </c>
      <c r="N32" s="152"/>
      <c r="O32" s="152"/>
    </row>
    <row r="33" spans="1:15" x14ac:dyDescent="0.2">
      <c r="A33" s="1" t="s">
        <v>3</v>
      </c>
      <c r="B33" s="1" t="s">
        <v>62</v>
      </c>
      <c r="C33" s="17">
        <v>1.2E-2</v>
      </c>
      <c r="E33" s="40" t="s">
        <v>3</v>
      </c>
      <c r="F33" s="40" t="s">
        <v>58</v>
      </c>
      <c r="G33" s="43">
        <f>0.045</f>
        <v>4.4999999999999998E-2</v>
      </c>
      <c r="I33" s="1" t="s">
        <v>3</v>
      </c>
      <c r="J33" s="1" t="s">
        <v>58</v>
      </c>
      <c r="K33" s="124">
        <v>3.9969999999999999E-2</v>
      </c>
      <c r="N33" s="152"/>
      <c r="O33" s="152"/>
    </row>
    <row r="34" spans="1:15" x14ac:dyDescent="0.2">
      <c r="A34" s="1" t="s">
        <v>3</v>
      </c>
      <c r="B34" s="1" t="s">
        <v>63</v>
      </c>
      <c r="C34" s="17">
        <v>0.22</v>
      </c>
      <c r="D34" s="33"/>
      <c r="E34" s="40" t="s">
        <v>3</v>
      </c>
      <c r="F34" s="40" t="s">
        <v>80</v>
      </c>
      <c r="G34" s="43">
        <f>0.0003</f>
        <v>2.9999999999999997E-4</v>
      </c>
      <c r="H34" s="32"/>
      <c r="I34" s="1" t="s">
        <v>3</v>
      </c>
      <c r="J34" s="1" t="s">
        <v>63</v>
      </c>
      <c r="K34" s="124">
        <v>0.17899999999999999</v>
      </c>
      <c r="N34" s="152"/>
      <c r="O34" s="152"/>
    </row>
    <row r="35" spans="1:15" x14ac:dyDescent="0.2">
      <c r="A35" s="1" t="s">
        <v>5</v>
      </c>
      <c r="B35" s="1" t="s">
        <v>67</v>
      </c>
      <c r="C35" s="17">
        <v>0.01</v>
      </c>
      <c r="D35" s="36"/>
      <c r="E35" s="40" t="s">
        <v>3</v>
      </c>
      <c r="F35" s="40" t="s">
        <v>83</v>
      </c>
      <c r="G35" s="43">
        <v>0</v>
      </c>
      <c r="H35" s="32"/>
      <c r="I35" s="1" t="s">
        <v>3</v>
      </c>
      <c r="J35" s="1" t="s">
        <v>83</v>
      </c>
      <c r="K35" s="124">
        <v>0</v>
      </c>
      <c r="N35" s="152"/>
      <c r="O35" s="152"/>
    </row>
    <row r="36" spans="1:15" x14ac:dyDescent="0.2">
      <c r="A36" s="1" t="s">
        <v>5</v>
      </c>
      <c r="B36" s="1" t="s">
        <v>69</v>
      </c>
      <c r="C36" s="17">
        <v>1.0999999999999999E-2</v>
      </c>
      <c r="E36" s="40" t="s">
        <v>3</v>
      </c>
      <c r="F36" s="40" t="s">
        <v>62</v>
      </c>
      <c r="G36" s="43">
        <f>11.07/1000</f>
        <v>1.107E-2</v>
      </c>
      <c r="I36" s="1" t="s">
        <v>5</v>
      </c>
      <c r="J36" s="1" t="s">
        <v>67</v>
      </c>
      <c r="K36" s="124">
        <v>1.5509999999999999E-2</v>
      </c>
      <c r="N36" s="152"/>
      <c r="O36" s="152"/>
    </row>
    <row r="37" spans="1:15" x14ac:dyDescent="0.2">
      <c r="A37" s="1" t="s">
        <v>8</v>
      </c>
      <c r="B37" s="1" t="s">
        <v>81</v>
      </c>
      <c r="C37" s="17">
        <v>4.2000000000000003E-2</v>
      </c>
      <c r="E37" s="40" t="s">
        <v>3</v>
      </c>
      <c r="F37" s="40" t="s">
        <v>63</v>
      </c>
      <c r="G37" s="43">
        <v>0.16900000000000001</v>
      </c>
      <c r="I37" s="1" t="s">
        <v>5</v>
      </c>
      <c r="J37" s="1" t="s">
        <v>68</v>
      </c>
      <c r="K37" s="124">
        <v>4.6100000000000004E-3</v>
      </c>
      <c r="N37" s="152"/>
      <c r="O37" s="152"/>
    </row>
    <row r="38" spans="1:15" x14ac:dyDescent="0.2">
      <c r="A38" s="1" t="s">
        <v>8</v>
      </c>
      <c r="B38" s="1" t="s">
        <v>71</v>
      </c>
      <c r="C38" s="17">
        <v>0.17499999999999999</v>
      </c>
      <c r="E38" s="40" t="s">
        <v>5</v>
      </c>
      <c r="F38" s="40" t="s">
        <v>67</v>
      </c>
      <c r="G38" s="43">
        <f>11.22/1000</f>
        <v>1.1220000000000001E-2</v>
      </c>
      <c r="I38" s="1" t="s">
        <v>5</v>
      </c>
      <c r="J38" s="1" t="s">
        <v>69</v>
      </c>
      <c r="K38" s="124">
        <v>1.12E-2</v>
      </c>
      <c r="N38" s="152"/>
      <c r="O38" s="152"/>
    </row>
    <row r="39" spans="1:15" x14ac:dyDescent="0.2">
      <c r="A39" s="1" t="s">
        <v>10</v>
      </c>
      <c r="B39" s="1" t="s">
        <v>72</v>
      </c>
      <c r="C39" s="17">
        <v>0.255</v>
      </c>
      <c r="E39" s="40" t="s">
        <v>5</v>
      </c>
      <c r="F39" s="40" t="s">
        <v>69</v>
      </c>
      <c r="G39" s="43">
        <f>18.3/1000</f>
        <v>1.83E-2</v>
      </c>
      <c r="I39" s="1" t="s">
        <v>8</v>
      </c>
      <c r="J39" s="1" t="s">
        <v>81</v>
      </c>
      <c r="K39" s="124">
        <v>0.05</v>
      </c>
      <c r="N39" s="152"/>
      <c r="O39" s="152"/>
    </row>
    <row r="40" spans="1:15" x14ac:dyDescent="0.2">
      <c r="A40" s="1" t="s">
        <v>10</v>
      </c>
      <c r="B40" s="1" t="s">
        <v>74</v>
      </c>
      <c r="C40" s="17">
        <v>1.4999999999999999E-2</v>
      </c>
      <c r="E40" s="40" t="s">
        <v>8</v>
      </c>
      <c r="F40" s="40" t="s">
        <v>81</v>
      </c>
      <c r="G40" s="43">
        <v>5.8999999999999997E-2</v>
      </c>
      <c r="I40" s="1" t="s">
        <v>8</v>
      </c>
      <c r="J40" s="1" t="s">
        <v>71</v>
      </c>
      <c r="K40" s="124">
        <v>0.1535</v>
      </c>
      <c r="N40" s="152"/>
      <c r="O40" s="152"/>
    </row>
    <row r="41" spans="1:15" x14ac:dyDescent="0.2">
      <c r="A41" s="1" t="s">
        <v>12</v>
      </c>
      <c r="B41" s="1" t="s">
        <v>76</v>
      </c>
      <c r="C41" s="17">
        <v>0.14199999999999999</v>
      </c>
      <c r="E41" s="40" t="s">
        <v>8</v>
      </c>
      <c r="F41" s="40" t="s">
        <v>71</v>
      </c>
      <c r="G41" s="43">
        <f>199.1/1000</f>
        <v>0.1991</v>
      </c>
      <c r="I41" s="1" t="s">
        <v>10</v>
      </c>
      <c r="J41" s="1" t="s">
        <v>72</v>
      </c>
      <c r="K41" s="124">
        <v>0.2298</v>
      </c>
      <c r="L41" s="152"/>
      <c r="N41" s="152"/>
      <c r="O41" s="152"/>
    </row>
    <row r="42" spans="1:15" x14ac:dyDescent="0.2">
      <c r="A42" s="1" t="s">
        <v>46</v>
      </c>
      <c r="B42" s="1" t="s">
        <v>77</v>
      </c>
      <c r="C42" s="17">
        <v>0.26800000000000002</v>
      </c>
      <c r="E42" s="40" t="s">
        <v>10</v>
      </c>
      <c r="F42" s="40" t="s">
        <v>72</v>
      </c>
      <c r="G42" s="43">
        <f>246/1000</f>
        <v>0.246</v>
      </c>
      <c r="I42" s="1" t="s">
        <v>10</v>
      </c>
      <c r="J42" s="1" t="s">
        <v>74</v>
      </c>
      <c r="K42" s="124">
        <v>6.9000000000000008E-3</v>
      </c>
      <c r="N42" s="152"/>
      <c r="O42" s="152"/>
    </row>
    <row r="43" spans="1:15" x14ac:dyDescent="0.2">
      <c r="A43" s="27"/>
      <c r="B43" s="27"/>
      <c r="C43" s="27"/>
      <c r="D43" s="25"/>
      <c r="E43" s="40" t="s">
        <v>10</v>
      </c>
      <c r="F43" s="40" t="s">
        <v>74</v>
      </c>
      <c r="G43" s="43">
        <f>33.8/1000</f>
        <v>3.3799999999999997E-2</v>
      </c>
      <c r="I43" s="1" t="s">
        <v>12</v>
      </c>
      <c r="J43" s="1" t="s">
        <v>76</v>
      </c>
      <c r="K43" s="124">
        <v>0.129</v>
      </c>
      <c r="N43" s="152"/>
      <c r="O43" s="152"/>
    </row>
    <row r="44" spans="1:15" ht="24" x14ac:dyDescent="0.2">
      <c r="A44" s="27"/>
      <c r="B44" s="5" t="s">
        <v>17</v>
      </c>
      <c r="C44" s="3">
        <f>SUM(C27:C42)</f>
        <v>1.395</v>
      </c>
      <c r="E44" s="40" t="s">
        <v>12</v>
      </c>
      <c r="F44" s="40" t="s">
        <v>76</v>
      </c>
      <c r="G44" s="43">
        <v>0.111</v>
      </c>
      <c r="I44" s="1" t="s">
        <v>98</v>
      </c>
      <c r="J44" s="1" t="s">
        <v>77</v>
      </c>
      <c r="K44" s="124">
        <v>0.20075999999999999</v>
      </c>
      <c r="N44" s="152"/>
      <c r="O44" s="152"/>
    </row>
    <row r="45" spans="1:15" ht="24" x14ac:dyDescent="0.2">
      <c r="E45" s="40" t="s">
        <v>98</v>
      </c>
      <c r="F45" s="40" t="s">
        <v>77</v>
      </c>
      <c r="G45" s="43">
        <f>244.2/1000</f>
        <v>0.2442</v>
      </c>
    </row>
    <row r="46" spans="1:15" x14ac:dyDescent="0.2">
      <c r="J46" s="81" t="s">
        <v>17</v>
      </c>
      <c r="K46" s="80">
        <f>SUM(K27:K44)</f>
        <v>1.19777</v>
      </c>
    </row>
    <row r="47" spans="1:15" x14ac:dyDescent="0.2">
      <c r="F47" s="81" t="s">
        <v>17</v>
      </c>
      <c r="G47" s="80">
        <f>SUM(G27:G45)</f>
        <v>1.3944900000000002</v>
      </c>
    </row>
  </sheetData>
  <mergeCells count="13">
    <mergeCell ref="A1:I1"/>
    <mergeCell ref="I24:K24"/>
    <mergeCell ref="E24:G24"/>
    <mergeCell ref="E25:E26"/>
    <mergeCell ref="F25:F26"/>
    <mergeCell ref="B25:B26"/>
    <mergeCell ref="A25:A26"/>
    <mergeCell ref="A24:C24"/>
    <mergeCell ref="I25:I26"/>
    <mergeCell ref="J25:J26"/>
    <mergeCell ref="A2:A3"/>
    <mergeCell ref="B2:B3"/>
    <mergeCell ref="C2:I2"/>
  </mergeCells>
  <pageMargins left="0.7" right="0.7" top="0.75" bottom="0.75" header="0.3" footer="0.3"/>
  <pageSetup orientation="portrait" r:id="rId1"/>
  <ignoredErrors>
    <ignoredError sqref="C4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7"/>
  <sheetViews>
    <sheetView workbookViewId="0">
      <selection activeCell="E17" sqref="E17"/>
    </sheetView>
  </sheetViews>
  <sheetFormatPr baseColWidth="10" defaultColWidth="11.5" defaultRowHeight="15" x14ac:dyDescent="0.2"/>
  <cols>
    <col min="1" max="1" width="30.6640625" customWidth="1"/>
    <col min="2" max="2" width="20.6640625" customWidth="1"/>
    <col min="3" max="4" width="11.6640625" customWidth="1"/>
  </cols>
  <sheetData>
    <row r="1" spans="1:9" ht="27.75" customHeight="1" x14ac:dyDescent="0.2">
      <c r="A1" s="189" t="s">
        <v>50</v>
      </c>
      <c r="B1" s="173"/>
      <c r="C1" s="173"/>
      <c r="D1" s="173"/>
      <c r="E1" s="173"/>
      <c r="F1" s="173"/>
      <c r="G1" s="173"/>
      <c r="H1" s="173"/>
      <c r="I1" s="173"/>
    </row>
    <row r="2" spans="1:9" x14ac:dyDescent="0.2">
      <c r="A2" s="190" t="s">
        <v>1</v>
      </c>
      <c r="B2" s="190" t="s">
        <v>38</v>
      </c>
      <c r="C2" s="193" t="s">
        <v>45</v>
      </c>
      <c r="D2" s="194"/>
      <c r="E2" s="194"/>
      <c r="F2" s="194"/>
      <c r="G2" s="194"/>
      <c r="H2" s="194"/>
      <c r="I2" s="194"/>
    </row>
    <row r="3" spans="1:9" x14ac:dyDescent="0.2">
      <c r="A3" s="190"/>
      <c r="B3" s="190"/>
      <c r="C3" s="20">
        <v>2012</v>
      </c>
      <c r="D3" s="20">
        <v>2013</v>
      </c>
      <c r="E3" s="20">
        <v>2014</v>
      </c>
      <c r="F3" s="20">
        <v>2015</v>
      </c>
      <c r="G3" s="20">
        <v>2016</v>
      </c>
      <c r="H3" s="45">
        <v>2017</v>
      </c>
      <c r="I3" s="45">
        <v>2018</v>
      </c>
    </row>
    <row r="4" spans="1:9" x14ac:dyDescent="0.2">
      <c r="A4" s="1" t="s">
        <v>3</v>
      </c>
      <c r="B4" s="1" t="s">
        <v>39</v>
      </c>
      <c r="C4" s="2">
        <v>0.66999999999999993</v>
      </c>
      <c r="D4" s="2">
        <v>0.66999999999999993</v>
      </c>
      <c r="E4" s="3">
        <v>0.65600000000000003</v>
      </c>
      <c r="F4" s="3">
        <v>0.75900000000000001</v>
      </c>
      <c r="G4" s="44">
        <v>1.0680000000000001</v>
      </c>
      <c r="H4" s="54">
        <v>0.64800000000000002</v>
      </c>
      <c r="I4" s="54">
        <v>1.105741524495814</v>
      </c>
    </row>
    <row r="5" spans="1:9" x14ac:dyDescent="0.2">
      <c r="A5" s="1" t="s">
        <v>3</v>
      </c>
      <c r="B5" s="83" t="s">
        <v>40</v>
      </c>
      <c r="C5" s="84" t="s">
        <v>48</v>
      </c>
      <c r="D5" s="84" t="s">
        <v>48</v>
      </c>
      <c r="E5" s="6">
        <v>0.2</v>
      </c>
      <c r="F5" s="6">
        <v>0.52400000000000002</v>
      </c>
      <c r="G5" s="85">
        <v>0.64800000000000002</v>
      </c>
      <c r="H5" s="92">
        <v>1.1180000000000001</v>
      </c>
      <c r="I5" s="92">
        <v>0.877</v>
      </c>
    </row>
    <row r="6" spans="1:9" x14ac:dyDescent="0.2">
      <c r="A6" s="82" t="s">
        <v>3</v>
      </c>
      <c r="B6" s="11" t="s">
        <v>41</v>
      </c>
      <c r="C6" s="89" t="s">
        <v>48</v>
      </c>
      <c r="D6" s="89" t="s">
        <v>48</v>
      </c>
      <c r="E6" s="90" t="s">
        <v>48</v>
      </c>
      <c r="F6" s="91" t="s">
        <v>48</v>
      </c>
      <c r="G6" s="71">
        <v>1.106E-2</v>
      </c>
      <c r="H6" s="53" t="s">
        <v>48</v>
      </c>
      <c r="I6" s="53" t="s">
        <v>48</v>
      </c>
    </row>
    <row r="7" spans="1:9" x14ac:dyDescent="0.2">
      <c r="A7" s="7"/>
      <c r="B7" s="86"/>
      <c r="C7" s="87"/>
      <c r="D7" s="88"/>
      <c r="E7" s="88"/>
      <c r="F7" s="88"/>
      <c r="H7" s="93"/>
      <c r="I7" s="93"/>
    </row>
    <row r="8" spans="1:9" x14ac:dyDescent="0.2">
      <c r="A8" s="7"/>
      <c r="B8" s="5" t="s">
        <v>17</v>
      </c>
      <c r="C8" s="2">
        <v>0.7</v>
      </c>
      <c r="D8" s="2">
        <v>0.7</v>
      </c>
      <c r="E8" s="3">
        <f>SUM(E4:E5)</f>
        <v>0.85600000000000009</v>
      </c>
      <c r="F8" s="3">
        <f>SUM(F4:F5)</f>
        <v>1.2829999999999999</v>
      </c>
      <c r="G8" s="44">
        <f>SUM(G4:G6)</f>
        <v>1.7270600000000003</v>
      </c>
      <c r="H8" s="54">
        <f>SUM(H4:H6)</f>
        <v>1.766</v>
      </c>
      <c r="I8" s="54">
        <f>SUM(I4:I6)</f>
        <v>1.982741524495814</v>
      </c>
    </row>
    <row r="10" spans="1:9" ht="30" customHeight="1" x14ac:dyDescent="0.2">
      <c r="A10" s="195" t="s">
        <v>90</v>
      </c>
      <c r="B10" s="196"/>
      <c r="C10" s="196"/>
      <c r="D10" s="196"/>
      <c r="E10" s="196"/>
    </row>
    <row r="11" spans="1:9" x14ac:dyDescent="0.2">
      <c r="A11" s="190" t="s">
        <v>1</v>
      </c>
      <c r="B11" s="190" t="s">
        <v>87</v>
      </c>
      <c r="C11" s="195" t="str">
        <f>+C2</f>
        <v>Caudal (m3/s)</v>
      </c>
      <c r="D11" s="196"/>
      <c r="E11" s="196"/>
    </row>
    <row r="12" spans="1:9" x14ac:dyDescent="0.2">
      <c r="A12" s="190"/>
      <c r="B12" s="190"/>
      <c r="C12" s="28">
        <v>2016</v>
      </c>
      <c r="D12" s="94">
        <v>2017</v>
      </c>
      <c r="E12" s="94">
        <v>2018</v>
      </c>
    </row>
    <row r="13" spans="1:9" x14ac:dyDescent="0.2">
      <c r="A13" s="1" t="s">
        <v>3</v>
      </c>
      <c r="B13" s="1" t="s">
        <v>59</v>
      </c>
      <c r="C13" s="44">
        <v>0.88</v>
      </c>
      <c r="D13" s="47">
        <f>918.51/1000</f>
        <v>0.91850999999999994</v>
      </c>
      <c r="E13" s="47">
        <v>0.91796038181760498</v>
      </c>
    </row>
    <row r="14" spans="1:9" x14ac:dyDescent="0.2">
      <c r="A14" s="1" t="s">
        <v>3</v>
      </c>
      <c r="B14" s="1" t="s">
        <v>82</v>
      </c>
      <c r="C14" s="44">
        <v>0.188</v>
      </c>
      <c r="D14" s="47">
        <v>0.2</v>
      </c>
      <c r="E14" s="47">
        <v>0.187781142678209</v>
      </c>
    </row>
    <row r="15" spans="1:9" x14ac:dyDescent="0.2">
      <c r="A15" s="1" t="s">
        <v>3</v>
      </c>
      <c r="B15" s="1" t="s">
        <v>80</v>
      </c>
      <c r="C15" s="44">
        <v>0.64800000000000002</v>
      </c>
      <c r="D15" s="47">
        <f>647.9/1000</f>
        <v>0.64790000000000003</v>
      </c>
      <c r="E15" s="47">
        <v>0.877</v>
      </c>
    </row>
    <row r="16" spans="1:9" x14ac:dyDescent="0.2">
      <c r="B16" s="29"/>
      <c r="C16" s="29"/>
      <c r="D16" s="95"/>
      <c r="E16" s="95"/>
    </row>
    <row r="17" spans="2:5" x14ac:dyDescent="0.2">
      <c r="B17" s="23" t="s">
        <v>17</v>
      </c>
      <c r="C17" s="85">
        <f>SUM(C13:C15)</f>
        <v>1.7160000000000002</v>
      </c>
      <c r="D17" s="54">
        <f>SUM(D13:D15)</f>
        <v>1.76641</v>
      </c>
      <c r="E17" s="54">
        <f>SUM(E13:E15)</f>
        <v>1.982741524495814</v>
      </c>
    </row>
  </sheetData>
  <mergeCells count="8">
    <mergeCell ref="C2:I2"/>
    <mergeCell ref="A1:I1"/>
    <mergeCell ref="A10:E10"/>
    <mergeCell ref="C11:E11"/>
    <mergeCell ref="A11:A12"/>
    <mergeCell ref="B11:B12"/>
    <mergeCell ref="A2:A3"/>
    <mergeCell ref="B2:B3"/>
  </mergeCells>
  <dataValidations disablePrompts="1" count="1">
    <dataValidation type="list" allowBlank="1" showInputMessage="1" showErrorMessage="1" sqref="B16" xr:uid="{00000000-0002-0000-0300-000000000000}">
      <formula1>Región</formula1>
    </dataValidation>
  </dataValidations>
  <pageMargins left="0.7" right="0.7" top="0.75" bottom="0.75" header="0.3" footer="0.3"/>
  <pageSetup orientation="portrait" r:id="rId1"/>
  <ignoredErrors>
    <ignoredError sqref="E8:F8 C1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3"/>
  <sheetViews>
    <sheetView workbookViewId="0">
      <selection activeCell="K18" sqref="K18:K19"/>
    </sheetView>
  </sheetViews>
  <sheetFormatPr baseColWidth="10" defaultColWidth="11.5" defaultRowHeight="15" x14ac:dyDescent="0.2"/>
  <cols>
    <col min="1" max="1" width="30.6640625" customWidth="1"/>
    <col min="2" max="2" width="20.6640625" customWidth="1"/>
    <col min="3" max="3" width="11.6640625" customWidth="1"/>
    <col min="4" max="4" width="13.1640625" customWidth="1"/>
    <col min="5" max="5" width="18.1640625" customWidth="1"/>
    <col min="6" max="6" width="19.5" customWidth="1"/>
    <col min="13" max="13" width="22.5" customWidth="1"/>
    <col min="14" max="14" width="24" customWidth="1"/>
  </cols>
  <sheetData>
    <row r="1" spans="1:15" ht="24.75" customHeight="1" x14ac:dyDescent="0.2">
      <c r="A1" s="189" t="s">
        <v>51</v>
      </c>
      <c r="B1" s="173"/>
      <c r="C1" s="173"/>
      <c r="D1" s="173"/>
      <c r="E1" s="173"/>
      <c r="F1" s="173"/>
      <c r="G1" s="173"/>
      <c r="H1" s="173"/>
      <c r="I1" s="173"/>
    </row>
    <row r="2" spans="1:15" x14ac:dyDescent="0.2">
      <c r="A2" s="190" t="s">
        <v>1</v>
      </c>
      <c r="B2" s="191" t="s">
        <v>38</v>
      </c>
      <c r="C2" s="172" t="s">
        <v>45</v>
      </c>
      <c r="D2" s="173"/>
      <c r="E2" s="173"/>
      <c r="F2" s="173"/>
      <c r="G2" s="173"/>
      <c r="H2" s="173"/>
      <c r="I2" s="173"/>
    </row>
    <row r="3" spans="1:15" x14ac:dyDescent="0.2">
      <c r="A3" s="190"/>
      <c r="B3" s="190"/>
      <c r="C3" s="101">
        <v>2012</v>
      </c>
      <c r="D3" s="101">
        <v>2013</v>
      </c>
      <c r="E3" s="101">
        <v>2014</v>
      </c>
      <c r="F3" s="101">
        <v>2015</v>
      </c>
      <c r="G3" s="101">
        <v>2016</v>
      </c>
      <c r="H3" s="101">
        <v>2017</v>
      </c>
      <c r="I3" s="101">
        <v>2018</v>
      </c>
    </row>
    <row r="4" spans="1:15" x14ac:dyDescent="0.2">
      <c r="A4" s="1" t="s">
        <v>3</v>
      </c>
      <c r="B4" s="1" t="s">
        <v>41</v>
      </c>
      <c r="C4" s="2">
        <v>0.3</v>
      </c>
      <c r="D4" s="2">
        <v>0.3</v>
      </c>
      <c r="E4" s="3">
        <v>0.32400000000000001</v>
      </c>
      <c r="F4" s="3">
        <v>0.31900000000000001</v>
      </c>
      <c r="G4" s="3">
        <v>0.371</v>
      </c>
      <c r="H4" s="3">
        <v>0.97399999999999998</v>
      </c>
      <c r="I4" s="3">
        <v>1.7350000000000001</v>
      </c>
      <c r="O4" s="99"/>
    </row>
    <row r="5" spans="1:15" x14ac:dyDescent="0.2">
      <c r="A5" s="1" t="s">
        <v>3</v>
      </c>
      <c r="B5" s="1" t="s">
        <v>40</v>
      </c>
      <c r="C5" s="96" t="s">
        <v>48</v>
      </c>
      <c r="D5" s="96" t="s">
        <v>48</v>
      </c>
      <c r="E5" s="6" t="s">
        <v>48</v>
      </c>
      <c r="F5" s="6">
        <v>0.1</v>
      </c>
      <c r="G5" s="6">
        <v>7.0000000000000007E-2</v>
      </c>
      <c r="H5" s="6">
        <v>7.0000000000000007E-2</v>
      </c>
      <c r="I5" s="6" t="s">
        <v>48</v>
      </c>
      <c r="O5" s="99"/>
    </row>
    <row r="6" spans="1:15" x14ac:dyDescent="0.2">
      <c r="A6" s="1" t="s">
        <v>3</v>
      </c>
      <c r="B6" s="74" t="s">
        <v>39</v>
      </c>
      <c r="C6" s="97" t="s">
        <v>48</v>
      </c>
      <c r="D6" s="97" t="s">
        <v>48</v>
      </c>
      <c r="E6" s="97" t="s">
        <v>48</v>
      </c>
      <c r="F6" s="97" t="s">
        <v>48</v>
      </c>
      <c r="G6" s="97" t="s">
        <v>48</v>
      </c>
      <c r="H6" s="51">
        <v>0.01</v>
      </c>
      <c r="I6" s="51">
        <v>4.5252029769477502E-2</v>
      </c>
      <c r="O6" s="99"/>
    </row>
    <row r="7" spans="1:15" x14ac:dyDescent="0.2">
      <c r="A7" s="11" t="s">
        <v>5</v>
      </c>
      <c r="B7" s="11" t="s">
        <v>52</v>
      </c>
      <c r="C7" s="14" t="s">
        <v>48</v>
      </c>
      <c r="D7" s="12">
        <v>0.2</v>
      </c>
      <c r="E7" s="13">
        <v>0.37</v>
      </c>
      <c r="F7" s="13">
        <v>0.42899999999999999</v>
      </c>
      <c r="G7" s="13">
        <v>0.38200000000000001</v>
      </c>
      <c r="H7" s="13">
        <v>0.251</v>
      </c>
      <c r="I7" s="13">
        <v>0.3278323959918823</v>
      </c>
      <c r="O7" s="99"/>
    </row>
    <row r="8" spans="1:15" x14ac:dyDescent="0.2">
      <c r="A8" s="11" t="s">
        <v>5</v>
      </c>
      <c r="B8" s="11" t="s">
        <v>42</v>
      </c>
      <c r="C8" s="14" t="s">
        <v>48</v>
      </c>
      <c r="D8" s="14" t="s">
        <v>48</v>
      </c>
      <c r="E8" s="13">
        <v>3.4000000000000002E-2</v>
      </c>
      <c r="F8" s="14" t="s">
        <v>48</v>
      </c>
      <c r="G8" s="13" t="s">
        <v>48</v>
      </c>
      <c r="H8" s="13">
        <v>0</v>
      </c>
      <c r="I8" s="13" t="s">
        <v>48</v>
      </c>
      <c r="O8" s="100"/>
    </row>
    <row r="9" spans="1:15" x14ac:dyDescent="0.2">
      <c r="A9" s="11" t="s">
        <v>5</v>
      </c>
      <c r="B9" s="11" t="s">
        <v>99</v>
      </c>
      <c r="C9" s="14" t="s">
        <v>48</v>
      </c>
      <c r="D9" s="14" t="s">
        <v>48</v>
      </c>
      <c r="E9" s="14" t="s">
        <v>48</v>
      </c>
      <c r="F9" s="14" t="s">
        <v>48</v>
      </c>
      <c r="G9" s="14" t="s">
        <v>48</v>
      </c>
      <c r="H9" s="13">
        <v>9.6199999999999994E-2</v>
      </c>
      <c r="I9" s="13" t="s">
        <v>48</v>
      </c>
      <c r="O9" s="99"/>
    </row>
    <row r="10" spans="1:15" x14ac:dyDescent="0.2">
      <c r="A10" s="8"/>
      <c r="B10" s="8"/>
      <c r="C10" s="9"/>
      <c r="D10" s="10"/>
      <c r="E10" s="10"/>
      <c r="F10" s="10"/>
      <c r="O10" s="99"/>
    </row>
    <row r="11" spans="1:15" x14ac:dyDescent="0.2">
      <c r="A11" s="8"/>
      <c r="B11" s="5" t="s">
        <v>17</v>
      </c>
      <c r="C11" s="2">
        <v>0.3</v>
      </c>
      <c r="D11" s="2">
        <v>0.5</v>
      </c>
      <c r="E11" s="3">
        <f>SUM(E4:E8)</f>
        <v>0.72799999999999998</v>
      </c>
      <c r="F11" s="3">
        <f>SUM(F4:F8)</f>
        <v>0.84800000000000009</v>
      </c>
      <c r="G11" s="3">
        <f>SUM(G4:G8)</f>
        <v>0.82299999999999995</v>
      </c>
      <c r="H11" s="3">
        <f>SUM(H4:H9)</f>
        <v>1.4012000000000002</v>
      </c>
      <c r="I11" s="3">
        <f>SUM(I4:I9)</f>
        <v>2.1080844257613598</v>
      </c>
      <c r="O11" s="99"/>
    </row>
    <row r="12" spans="1:15" x14ac:dyDescent="0.2">
      <c r="O12" s="99"/>
    </row>
    <row r="13" spans="1:15" ht="30" customHeight="1" x14ac:dyDescent="0.2">
      <c r="A13" s="192" t="s">
        <v>91</v>
      </c>
      <c r="B13" s="192"/>
      <c r="C13" s="192"/>
      <c r="E13" s="197" t="s">
        <v>91</v>
      </c>
      <c r="F13" s="198"/>
      <c r="G13" s="199"/>
      <c r="I13" s="197" t="s">
        <v>91</v>
      </c>
      <c r="J13" s="198"/>
      <c r="K13" s="199"/>
      <c r="O13" s="99"/>
    </row>
    <row r="14" spans="1:15" x14ac:dyDescent="0.2">
      <c r="A14" s="200" t="s">
        <v>1</v>
      </c>
      <c r="B14" s="200" t="s">
        <v>87</v>
      </c>
      <c r="C14" s="26" t="s">
        <v>78</v>
      </c>
      <c r="E14" s="200" t="s">
        <v>1</v>
      </c>
      <c r="F14" s="200" t="s">
        <v>87</v>
      </c>
      <c r="G14" s="38" t="s">
        <v>78</v>
      </c>
      <c r="I14" s="200" t="s">
        <v>1</v>
      </c>
      <c r="J14" s="200" t="s">
        <v>87</v>
      </c>
      <c r="K14" s="129" t="s">
        <v>78</v>
      </c>
    </row>
    <row r="15" spans="1:15" ht="14.5" customHeight="1" x14ac:dyDescent="0.2">
      <c r="A15" s="200"/>
      <c r="B15" s="200"/>
      <c r="C15" s="28">
        <v>2016</v>
      </c>
      <c r="E15" s="200"/>
      <c r="F15" s="200"/>
      <c r="G15" s="94">
        <v>2017</v>
      </c>
      <c r="I15" s="200"/>
      <c r="J15" s="200"/>
      <c r="K15" s="94">
        <v>2018</v>
      </c>
    </row>
    <row r="16" spans="1:15" ht="24" x14ac:dyDescent="0.2">
      <c r="A16" s="1" t="s">
        <v>3</v>
      </c>
      <c r="B16" s="1" t="s">
        <v>63</v>
      </c>
      <c r="C16" s="3">
        <v>0.371</v>
      </c>
      <c r="D16" s="34"/>
      <c r="E16" s="50" t="s">
        <v>3</v>
      </c>
      <c r="F16" s="50" t="s">
        <v>63</v>
      </c>
      <c r="G16" s="71">
        <v>0.97399999999999998</v>
      </c>
      <c r="H16" s="32"/>
      <c r="I16" s="50" t="s">
        <v>3</v>
      </c>
      <c r="J16" s="50" t="s">
        <v>63</v>
      </c>
      <c r="K16" s="71">
        <v>1.7350000000000001</v>
      </c>
    </row>
    <row r="17" spans="1:11" ht="24" x14ac:dyDescent="0.2">
      <c r="A17" s="1" t="s">
        <v>3</v>
      </c>
      <c r="B17" s="1" t="s">
        <v>80</v>
      </c>
      <c r="C17" s="3">
        <v>7.0000000000000007E-2</v>
      </c>
      <c r="E17" s="50" t="s">
        <v>3</v>
      </c>
      <c r="F17" s="50" t="s">
        <v>80</v>
      </c>
      <c r="G17" s="71">
        <v>6.9699999999999998E-2</v>
      </c>
      <c r="I17" s="50" t="s">
        <v>3</v>
      </c>
      <c r="J17" s="50" t="s">
        <v>82</v>
      </c>
      <c r="K17" s="71">
        <v>4.5252029769477502E-2</v>
      </c>
    </row>
    <row r="18" spans="1:11" ht="24" x14ac:dyDescent="0.2">
      <c r="A18" s="1" t="s">
        <v>5</v>
      </c>
      <c r="B18" s="1" t="s">
        <v>68</v>
      </c>
      <c r="C18" s="3">
        <v>0.30499999999999999</v>
      </c>
      <c r="E18" s="50" t="s">
        <v>3</v>
      </c>
      <c r="F18" s="50" t="s">
        <v>82</v>
      </c>
      <c r="G18" s="71">
        <v>0.01</v>
      </c>
      <c r="I18" s="1" t="s">
        <v>5</v>
      </c>
      <c r="J18" s="1" t="s">
        <v>67</v>
      </c>
      <c r="K18" s="71">
        <v>7.90423959918823E-2</v>
      </c>
    </row>
    <row r="19" spans="1:11" ht="24" x14ac:dyDescent="0.2">
      <c r="A19" s="1" t="s">
        <v>5</v>
      </c>
      <c r="B19" s="1" t="s">
        <v>67</v>
      </c>
      <c r="C19" s="3">
        <v>7.6999999999999999E-2</v>
      </c>
      <c r="E19" s="50" t="s">
        <v>5</v>
      </c>
      <c r="F19" s="50" t="s">
        <v>68</v>
      </c>
      <c r="G19" s="71">
        <v>0.25090000000000001</v>
      </c>
      <c r="I19" s="50" t="s">
        <v>5</v>
      </c>
      <c r="J19" s="50" t="s">
        <v>68</v>
      </c>
      <c r="K19" s="71">
        <v>0.24878999999999998</v>
      </c>
    </row>
    <row r="20" spans="1:11" x14ac:dyDescent="0.2">
      <c r="A20" s="29"/>
      <c r="B20" s="29"/>
      <c r="C20" s="29"/>
      <c r="D20" s="98"/>
      <c r="E20" s="50" t="s">
        <v>5</v>
      </c>
      <c r="F20" s="50" t="s">
        <v>96</v>
      </c>
      <c r="G20" s="71">
        <v>3.9200000000000006E-2</v>
      </c>
    </row>
    <row r="21" spans="1:11" x14ac:dyDescent="0.2">
      <c r="B21" s="5" t="s">
        <v>17</v>
      </c>
      <c r="C21" s="3">
        <f>SUM(C16:C19)</f>
        <v>0.82299999999999995</v>
      </c>
      <c r="E21" s="50" t="s">
        <v>5</v>
      </c>
      <c r="F21" s="73" t="s">
        <v>100</v>
      </c>
      <c r="G21" s="71">
        <v>5.7000000000000002E-2</v>
      </c>
      <c r="J21" s="5" t="s">
        <v>17</v>
      </c>
      <c r="K21" s="3">
        <f>SUM(K16:K19)</f>
        <v>2.1080844257613598</v>
      </c>
    </row>
    <row r="23" spans="1:11" x14ac:dyDescent="0.2">
      <c r="F23" s="5" t="s">
        <v>17</v>
      </c>
      <c r="G23" s="3">
        <f>SUM(G16:G21)</f>
        <v>1.4008</v>
      </c>
    </row>
  </sheetData>
  <mergeCells count="13">
    <mergeCell ref="A1:I1"/>
    <mergeCell ref="C2:I2"/>
    <mergeCell ref="I13:K13"/>
    <mergeCell ref="E14:E15"/>
    <mergeCell ref="F14:F15"/>
    <mergeCell ref="A14:A15"/>
    <mergeCell ref="B14:B15"/>
    <mergeCell ref="A13:C13"/>
    <mergeCell ref="I14:I15"/>
    <mergeCell ref="J14:J15"/>
    <mergeCell ref="A2:A3"/>
    <mergeCell ref="B2:B3"/>
    <mergeCell ref="E13:G13"/>
  </mergeCells>
  <dataValidations disablePrompts="1" count="1">
    <dataValidation type="list" allowBlank="1" showInputMessage="1" showErrorMessage="1" sqref="B20 E20:E21 I21:I22" xr:uid="{00000000-0002-0000-0400-000000000000}">
      <formula1>Región</formula1>
    </dataValidation>
  </dataValidations>
  <pageMargins left="0.7" right="0.7" top="0.75" bottom="0.75" header="0.3" footer="0.3"/>
  <pageSetup orientation="portrait" r:id="rId1"/>
  <ignoredErrors>
    <ignoredError sqref="C21 H11 G2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2"/>
  <sheetViews>
    <sheetView workbookViewId="0">
      <selection activeCell="L28" sqref="L28"/>
    </sheetView>
  </sheetViews>
  <sheetFormatPr baseColWidth="10" defaultColWidth="11.5" defaultRowHeight="15" x14ac:dyDescent="0.2"/>
  <cols>
    <col min="1" max="1" width="30.6640625" customWidth="1"/>
    <col min="2" max="6" width="15.6640625" customWidth="1"/>
    <col min="9" max="9" width="22.5" customWidth="1"/>
    <col min="10" max="10" width="11.83203125" customWidth="1"/>
    <col min="11" max="11" width="13.5" customWidth="1"/>
    <col min="14" max="14" width="13.83203125" customWidth="1"/>
    <col min="15" max="15" width="14.1640625" customWidth="1"/>
  </cols>
  <sheetData>
    <row r="1" spans="1:15" ht="27" customHeight="1" x14ac:dyDescent="0.2">
      <c r="A1" s="197" t="s">
        <v>43</v>
      </c>
      <c r="B1" s="198"/>
      <c r="C1" s="198"/>
      <c r="D1" s="198"/>
      <c r="E1" s="198"/>
      <c r="F1" s="198"/>
      <c r="G1" s="198"/>
      <c r="H1" s="199"/>
    </row>
    <row r="2" spans="1:15" x14ac:dyDescent="0.2">
      <c r="A2" s="203" t="s">
        <v>1</v>
      </c>
      <c r="B2" s="197" t="s">
        <v>45</v>
      </c>
      <c r="C2" s="198"/>
      <c r="D2" s="198"/>
      <c r="E2" s="198"/>
      <c r="F2" s="198"/>
      <c r="G2" s="198"/>
      <c r="H2" s="199"/>
      <c r="I2" s="137"/>
      <c r="J2" s="10"/>
      <c r="K2" s="10"/>
      <c r="L2" s="10"/>
      <c r="M2" s="103"/>
    </row>
    <row r="3" spans="1:15" x14ac:dyDescent="0.2">
      <c r="A3" s="204"/>
      <c r="B3" s="120">
        <v>2012</v>
      </c>
      <c r="C3" s="120">
        <v>2013</v>
      </c>
      <c r="D3" s="120">
        <v>2014</v>
      </c>
      <c r="E3" s="120">
        <v>2015</v>
      </c>
      <c r="F3" s="120">
        <v>2016</v>
      </c>
      <c r="G3" s="120">
        <v>2017</v>
      </c>
      <c r="H3" s="120">
        <v>2018</v>
      </c>
      <c r="I3" s="131"/>
      <c r="J3" s="10"/>
      <c r="K3" s="10"/>
      <c r="L3" s="10"/>
      <c r="M3" s="10"/>
    </row>
    <row r="4" spans="1:15" x14ac:dyDescent="0.2">
      <c r="A4" s="138" t="s">
        <v>19</v>
      </c>
      <c r="B4" s="139">
        <v>0.09</v>
      </c>
      <c r="C4" s="139">
        <v>0.09</v>
      </c>
      <c r="D4" s="140">
        <v>8.4000000000000005E-2</v>
      </c>
      <c r="E4" s="140">
        <v>8.4000000000000005E-2</v>
      </c>
      <c r="F4" s="141">
        <v>8.4000000000000005E-2</v>
      </c>
      <c r="G4" s="142">
        <v>7.6999999999999999E-2</v>
      </c>
      <c r="H4" s="154">
        <v>7.9000000000000001E-2</v>
      </c>
      <c r="I4" s="132"/>
      <c r="J4" s="10"/>
      <c r="K4" s="10"/>
      <c r="L4" s="10"/>
      <c r="M4" s="10"/>
    </row>
    <row r="5" spans="1:15" x14ac:dyDescent="0.2">
      <c r="A5" s="11" t="s">
        <v>3</v>
      </c>
      <c r="B5" s="12">
        <v>0.4</v>
      </c>
      <c r="C5" s="12">
        <v>0.4</v>
      </c>
      <c r="D5" s="13">
        <v>0.56999999999999995</v>
      </c>
      <c r="E5" s="13">
        <v>0.40948000000000001</v>
      </c>
      <c r="F5" s="102">
        <v>0.55600000000000005</v>
      </c>
      <c r="G5" s="53">
        <v>0.64400000000000002</v>
      </c>
      <c r="H5" s="154">
        <v>0.69248121765601234</v>
      </c>
      <c r="J5" s="10"/>
      <c r="K5" s="10"/>
      <c r="L5" s="10"/>
      <c r="M5" s="104"/>
    </row>
    <row r="6" spans="1:15" x14ac:dyDescent="0.2">
      <c r="A6" s="11" t="s">
        <v>5</v>
      </c>
      <c r="B6" s="15">
        <v>0.01</v>
      </c>
      <c r="C6" s="12">
        <v>0.1</v>
      </c>
      <c r="D6" s="13">
        <v>0.127</v>
      </c>
      <c r="E6" s="13">
        <v>0.10199999999999999</v>
      </c>
      <c r="F6" s="102">
        <v>0.16800000000000001</v>
      </c>
      <c r="G6" s="53">
        <v>0.21099999999999999</v>
      </c>
      <c r="H6" s="154">
        <v>0.10351</v>
      </c>
      <c r="J6" s="10"/>
      <c r="K6" s="10"/>
      <c r="L6" s="10"/>
      <c r="M6" s="10"/>
    </row>
    <row r="7" spans="1:15" x14ac:dyDescent="0.2">
      <c r="A7" s="11" t="s">
        <v>8</v>
      </c>
      <c r="B7" s="16">
        <v>2.0000000000000001E-4</v>
      </c>
      <c r="C7" s="16">
        <v>2.0000000000000001E-4</v>
      </c>
      <c r="D7" s="16">
        <v>2.0000000000000001E-4</v>
      </c>
      <c r="E7" s="13" t="s">
        <v>48</v>
      </c>
      <c r="F7" s="102" t="s">
        <v>48</v>
      </c>
      <c r="G7" s="53">
        <v>0</v>
      </c>
      <c r="H7" s="154" t="s">
        <v>48</v>
      </c>
      <c r="J7" s="10"/>
      <c r="K7" s="10"/>
      <c r="L7" s="10"/>
      <c r="M7" s="10"/>
    </row>
    <row r="8" spans="1:15" x14ac:dyDescent="0.2">
      <c r="A8" s="11" t="s">
        <v>10</v>
      </c>
      <c r="B8" s="15">
        <v>0.01</v>
      </c>
      <c r="C8" s="15">
        <v>0.01</v>
      </c>
      <c r="D8" s="13">
        <v>1.2999999999999999E-2</v>
      </c>
      <c r="E8" s="13">
        <v>1.4E-2</v>
      </c>
      <c r="F8" s="102">
        <v>1.0999999999999999E-2</v>
      </c>
      <c r="G8" s="53">
        <v>1.2999999999999999E-2</v>
      </c>
      <c r="H8" s="154">
        <v>2.4820000000000002E-2</v>
      </c>
      <c r="J8" s="10"/>
      <c r="K8" s="10"/>
      <c r="L8" s="10"/>
      <c r="M8" s="104"/>
    </row>
    <row r="9" spans="1:15" x14ac:dyDescent="0.2">
      <c r="A9" s="11" t="s">
        <v>12</v>
      </c>
      <c r="B9" s="14" t="s">
        <v>48</v>
      </c>
      <c r="C9" s="14" t="s">
        <v>48</v>
      </c>
      <c r="D9" s="13">
        <v>1.2E-2</v>
      </c>
      <c r="E9" s="13">
        <v>3.2000000000000001E-2</v>
      </c>
      <c r="F9" s="102">
        <v>7.3999999999999996E-2</v>
      </c>
      <c r="G9" s="53">
        <v>0.05</v>
      </c>
      <c r="H9" s="154">
        <v>1.9400000000000001E-2</v>
      </c>
      <c r="J9" s="10"/>
      <c r="K9" s="10"/>
      <c r="L9" s="10"/>
      <c r="M9" s="105"/>
    </row>
    <row r="10" spans="1:15" x14ac:dyDescent="0.2">
      <c r="A10" s="10"/>
      <c r="B10" s="10"/>
      <c r="C10" s="10"/>
      <c r="D10" s="10"/>
      <c r="E10" s="10"/>
      <c r="G10" s="93"/>
      <c r="H10" s="93"/>
    </row>
    <row r="11" spans="1:15" x14ac:dyDescent="0.2">
      <c r="A11" s="5" t="s">
        <v>17</v>
      </c>
      <c r="B11" s="2">
        <v>0.5</v>
      </c>
      <c r="C11" s="2">
        <v>0.6</v>
      </c>
      <c r="D11" s="3">
        <v>0.80619999999999992</v>
      </c>
      <c r="E11" s="3">
        <f>SUM(E4:E9)</f>
        <v>0.64148000000000005</v>
      </c>
      <c r="F11" s="3">
        <f>SUM(F4:F9)</f>
        <v>0.89300000000000002</v>
      </c>
      <c r="G11" s="61">
        <f>SUM(G4:G9)</f>
        <v>0.995</v>
      </c>
      <c r="H11" s="61">
        <f>SUM(H4:H9)</f>
        <v>0.91921121765601221</v>
      </c>
    </row>
    <row r="13" spans="1:15" ht="30" customHeight="1" x14ac:dyDescent="0.2">
      <c r="A13" s="192" t="s">
        <v>85</v>
      </c>
      <c r="B13" s="192"/>
      <c r="C13" s="192"/>
      <c r="E13" s="192" t="s">
        <v>85</v>
      </c>
      <c r="F13" s="192"/>
      <c r="G13" s="192"/>
      <c r="I13" s="192" t="s">
        <v>85</v>
      </c>
      <c r="J13" s="192"/>
      <c r="K13" s="192"/>
    </row>
    <row r="14" spans="1:15" x14ac:dyDescent="0.2">
      <c r="A14" s="200" t="s">
        <v>1</v>
      </c>
      <c r="B14" s="200" t="s">
        <v>79</v>
      </c>
      <c r="C14" s="129" t="s">
        <v>78</v>
      </c>
      <c r="E14" s="200" t="s">
        <v>1</v>
      </c>
      <c r="F14" s="200" t="s">
        <v>79</v>
      </c>
      <c r="G14" s="129" t="s">
        <v>78</v>
      </c>
      <c r="I14" s="200" t="s">
        <v>1</v>
      </c>
      <c r="J14" s="200" t="s">
        <v>79</v>
      </c>
      <c r="K14" s="129" t="s">
        <v>78</v>
      </c>
    </row>
    <row r="15" spans="1:15" x14ac:dyDescent="0.2">
      <c r="A15" s="200"/>
      <c r="B15" s="200"/>
      <c r="C15" s="120">
        <v>2016</v>
      </c>
      <c r="D15" s="134"/>
      <c r="E15" s="201"/>
      <c r="F15" s="202"/>
      <c r="G15" s="120">
        <v>2017</v>
      </c>
      <c r="H15" s="134"/>
      <c r="I15" s="201"/>
      <c r="J15" s="202"/>
      <c r="K15" s="120">
        <v>2018</v>
      </c>
      <c r="N15" s="155"/>
      <c r="O15" s="155"/>
    </row>
    <row r="16" spans="1:15" ht="24" x14ac:dyDescent="0.2">
      <c r="A16" s="1" t="s">
        <v>19</v>
      </c>
      <c r="B16" s="1" t="s">
        <v>54</v>
      </c>
      <c r="C16" s="124">
        <v>8.4000000000000005E-2</v>
      </c>
      <c r="D16" s="132"/>
      <c r="E16" s="121" t="s">
        <v>19</v>
      </c>
      <c r="F16" s="46" t="s">
        <v>54</v>
      </c>
      <c r="G16" s="136">
        <v>7.6999999999999999E-2</v>
      </c>
      <c r="H16" s="132"/>
      <c r="I16" s="1" t="s">
        <v>19</v>
      </c>
      <c r="J16" s="1" t="s">
        <v>54</v>
      </c>
      <c r="K16" s="17">
        <v>7.9000000000000001E-2</v>
      </c>
      <c r="N16" s="152"/>
      <c r="O16" s="152"/>
    </row>
    <row r="17" spans="1:15" x14ac:dyDescent="0.2">
      <c r="A17" s="1" t="s">
        <v>3</v>
      </c>
      <c r="B17" s="1" t="s">
        <v>56</v>
      </c>
      <c r="C17" s="17">
        <v>2.1999999999999999E-2</v>
      </c>
      <c r="E17" s="106" t="s">
        <v>3</v>
      </c>
      <c r="F17" s="46" t="s">
        <v>55</v>
      </c>
      <c r="G17" s="107">
        <f>0.0152/1000</f>
        <v>1.52E-5</v>
      </c>
      <c r="I17" s="1" t="s">
        <v>3</v>
      </c>
      <c r="J17" s="1" t="s">
        <v>56</v>
      </c>
      <c r="K17" s="17">
        <v>9.8920000000000008E-2</v>
      </c>
      <c r="N17" s="152"/>
      <c r="O17" s="152"/>
    </row>
    <row r="18" spans="1:15" x14ac:dyDescent="0.2">
      <c r="A18" s="1" t="s">
        <v>3</v>
      </c>
      <c r="B18" s="1" t="s">
        <v>58</v>
      </c>
      <c r="C18" s="17">
        <v>0.14499999999999999</v>
      </c>
      <c r="E18" s="106" t="s">
        <v>3</v>
      </c>
      <c r="F18" s="46" t="s">
        <v>56</v>
      </c>
      <c r="G18" s="69">
        <f>73.9/1000</f>
        <v>7.3900000000000007E-2</v>
      </c>
      <c r="I18" s="1" t="s">
        <v>3</v>
      </c>
      <c r="J18" s="1" t="s">
        <v>57</v>
      </c>
      <c r="K18" s="17">
        <v>1.7729999999999999E-2</v>
      </c>
      <c r="N18" s="152"/>
      <c r="O18" s="152"/>
    </row>
    <row r="19" spans="1:15" x14ac:dyDescent="0.2">
      <c r="A19" s="1" t="s">
        <v>3</v>
      </c>
      <c r="B19" s="1" t="s">
        <v>61</v>
      </c>
      <c r="C19" s="17">
        <v>2.1000000000000001E-2</v>
      </c>
      <c r="E19" s="106" t="s">
        <v>3</v>
      </c>
      <c r="F19" s="46" t="s">
        <v>58</v>
      </c>
      <c r="G19" s="69">
        <f>193/1000</f>
        <v>0.193</v>
      </c>
      <c r="I19" s="1" t="s">
        <v>3</v>
      </c>
      <c r="J19" s="1" t="s">
        <v>58</v>
      </c>
      <c r="K19" s="17">
        <v>0.18196999999999999</v>
      </c>
      <c r="N19" s="152"/>
      <c r="O19" s="152"/>
    </row>
    <row r="20" spans="1:15" x14ac:dyDescent="0.2">
      <c r="A20" s="1" t="s">
        <v>3</v>
      </c>
      <c r="B20" s="1" t="s">
        <v>83</v>
      </c>
      <c r="C20" s="17">
        <v>0.20399999999999999</v>
      </c>
      <c r="D20" s="32"/>
      <c r="E20" s="106" t="s">
        <v>3</v>
      </c>
      <c r="F20" s="46" t="s">
        <v>61</v>
      </c>
      <c r="G20" s="69">
        <v>0.02</v>
      </c>
      <c r="H20" s="32"/>
      <c r="I20" s="1" t="s">
        <v>3</v>
      </c>
      <c r="J20" s="1" t="s">
        <v>61</v>
      </c>
      <c r="K20" s="17">
        <v>1.8351217656012199E-2</v>
      </c>
      <c r="N20" s="152"/>
      <c r="O20" s="152"/>
    </row>
    <row r="21" spans="1:15" x14ac:dyDescent="0.2">
      <c r="A21" s="1" t="s">
        <v>3</v>
      </c>
      <c r="B21" s="1" t="s">
        <v>80</v>
      </c>
      <c r="C21" s="17">
        <v>0.03</v>
      </c>
      <c r="E21" s="106" t="s">
        <v>3</v>
      </c>
      <c r="F21" s="46" t="s">
        <v>83</v>
      </c>
      <c r="G21" s="69">
        <f>199.031327705965/1000</f>
        <v>0.19903132770596499</v>
      </c>
      <c r="I21" s="1" t="s">
        <v>3</v>
      </c>
      <c r="J21" s="1" t="s">
        <v>83</v>
      </c>
      <c r="K21" s="17">
        <v>0.19500000000000001</v>
      </c>
      <c r="N21" s="152"/>
      <c r="O21" s="152"/>
    </row>
    <row r="22" spans="1:15" x14ac:dyDescent="0.2">
      <c r="A22" s="1" t="s">
        <v>3</v>
      </c>
      <c r="B22" s="1" t="s">
        <v>84</v>
      </c>
      <c r="C22" s="17">
        <v>4.4999999999999998E-2</v>
      </c>
      <c r="E22" s="106" t="s">
        <v>3</v>
      </c>
      <c r="F22" s="46" t="s">
        <v>80</v>
      </c>
      <c r="G22" s="69">
        <v>3.1E-2</v>
      </c>
      <c r="I22" s="1" t="s">
        <v>3</v>
      </c>
      <c r="J22" s="1" t="s">
        <v>80</v>
      </c>
      <c r="K22" s="17">
        <v>0.03</v>
      </c>
      <c r="N22" s="152"/>
      <c r="O22" s="152"/>
    </row>
    <row r="23" spans="1:15" x14ac:dyDescent="0.2">
      <c r="A23" s="1" t="s">
        <v>3</v>
      </c>
      <c r="B23" s="1" t="s">
        <v>64</v>
      </c>
      <c r="C23" s="17">
        <v>8.8999999999999996E-2</v>
      </c>
      <c r="E23" s="106" t="s">
        <v>3</v>
      </c>
      <c r="F23" s="46" t="s">
        <v>84</v>
      </c>
      <c r="G23" s="69">
        <f>35.72/1000</f>
        <v>3.5720000000000002E-2</v>
      </c>
      <c r="I23" s="1" t="s">
        <v>3</v>
      </c>
      <c r="J23" s="1" t="s">
        <v>84</v>
      </c>
      <c r="K23" s="17">
        <v>4.0439999999999997E-2</v>
      </c>
      <c r="N23" s="152"/>
      <c r="O23" s="152"/>
    </row>
    <row r="24" spans="1:15" x14ac:dyDescent="0.2">
      <c r="A24" s="11" t="s">
        <v>5</v>
      </c>
      <c r="B24" s="1" t="s">
        <v>68</v>
      </c>
      <c r="C24" s="17">
        <v>0.16800000000000001</v>
      </c>
      <c r="E24" s="106" t="s">
        <v>3</v>
      </c>
      <c r="F24" s="46" t="s">
        <v>64</v>
      </c>
      <c r="G24" s="69">
        <f>91.4/1000</f>
        <v>9.1400000000000009E-2</v>
      </c>
      <c r="I24" s="1" t="s">
        <v>3</v>
      </c>
      <c r="J24" s="1" t="s">
        <v>64</v>
      </c>
      <c r="K24" s="17">
        <v>8.2670000000000007E-2</v>
      </c>
      <c r="N24" s="152"/>
      <c r="O24" s="152"/>
    </row>
    <row r="25" spans="1:15" x14ac:dyDescent="0.2">
      <c r="A25" s="1" t="s">
        <v>10</v>
      </c>
      <c r="B25" s="1" t="s">
        <v>73</v>
      </c>
      <c r="C25" s="17">
        <v>1.0999999999999999E-2</v>
      </c>
      <c r="E25" s="106" t="s">
        <v>5</v>
      </c>
      <c r="F25" s="46" t="s">
        <v>67</v>
      </c>
      <c r="G25" s="69">
        <f>78.6/1000</f>
        <v>7.8599999999999989E-2</v>
      </c>
      <c r="I25" s="1" t="s">
        <v>3</v>
      </c>
      <c r="J25" s="1" t="s">
        <v>59</v>
      </c>
      <c r="K25" s="4">
        <v>2.7300000000000001E-2</v>
      </c>
      <c r="N25" s="164"/>
      <c r="O25" s="164"/>
    </row>
    <row r="26" spans="1:15" x14ac:dyDescent="0.2">
      <c r="A26" s="1" t="s">
        <v>12</v>
      </c>
      <c r="B26" s="1" t="s">
        <v>76</v>
      </c>
      <c r="C26" s="17">
        <v>7.3999999999999996E-2</v>
      </c>
      <c r="E26" s="106" t="s">
        <v>5</v>
      </c>
      <c r="F26" s="46" t="s">
        <v>68</v>
      </c>
      <c r="G26" s="69">
        <f>132.8/1000</f>
        <v>0.1328</v>
      </c>
      <c r="I26" s="1" t="s">
        <v>3</v>
      </c>
      <c r="J26" s="1" t="s">
        <v>55</v>
      </c>
      <c r="K26" s="153">
        <v>1E-4</v>
      </c>
      <c r="N26" s="165"/>
      <c r="O26" s="166"/>
    </row>
    <row r="27" spans="1:15" ht="15" customHeight="1" x14ac:dyDescent="0.2">
      <c r="A27" s="30"/>
      <c r="B27" s="30"/>
      <c r="C27" s="31"/>
      <c r="E27" s="106" t="s">
        <v>10</v>
      </c>
      <c r="F27" s="46" t="s">
        <v>73</v>
      </c>
      <c r="G27" s="69">
        <f>12.8/1000</f>
        <v>1.2800000000000001E-2</v>
      </c>
      <c r="I27" s="1" t="s">
        <v>5</v>
      </c>
      <c r="J27" s="1" t="s">
        <v>68</v>
      </c>
      <c r="K27" s="17">
        <v>0.10351</v>
      </c>
      <c r="N27" s="152"/>
      <c r="O27" s="152"/>
    </row>
    <row r="28" spans="1:15" ht="15" customHeight="1" x14ac:dyDescent="0.2">
      <c r="A28" s="30"/>
      <c r="B28" s="5" t="s">
        <v>17</v>
      </c>
      <c r="C28" s="3">
        <f>SUM(C16:C26)</f>
        <v>0.89300000000000002</v>
      </c>
      <c r="E28" s="106" t="s">
        <v>12</v>
      </c>
      <c r="F28" s="46" t="s">
        <v>76</v>
      </c>
      <c r="G28" s="69">
        <v>0.05</v>
      </c>
      <c r="I28" s="1" t="s">
        <v>10</v>
      </c>
      <c r="J28" s="1" t="s">
        <v>73</v>
      </c>
      <c r="K28" s="17">
        <v>9.2200000000000008E-3</v>
      </c>
      <c r="L28" s="152"/>
      <c r="N28" s="152"/>
      <c r="O28" s="152"/>
    </row>
    <row r="29" spans="1:15" ht="15" customHeight="1" x14ac:dyDescent="0.2">
      <c r="I29" s="1" t="s">
        <v>10</v>
      </c>
      <c r="J29" s="83" t="s">
        <v>76</v>
      </c>
      <c r="K29" s="17">
        <v>1.5599999999999999E-2</v>
      </c>
      <c r="N29" s="152"/>
      <c r="O29" s="152"/>
    </row>
    <row r="30" spans="1:15" x14ac:dyDescent="0.2">
      <c r="F30" s="5" t="s">
        <v>17</v>
      </c>
      <c r="G30" s="3">
        <f>SUM(G16:G28)</f>
        <v>0.99526652770596524</v>
      </c>
      <c r="I30" s="1" t="s">
        <v>12</v>
      </c>
      <c r="J30" s="1" t="s">
        <v>76</v>
      </c>
      <c r="K30" s="17">
        <v>1.9400000000000001E-2</v>
      </c>
    </row>
    <row r="32" spans="1:15" x14ac:dyDescent="0.2">
      <c r="J32" s="5" t="s">
        <v>17</v>
      </c>
      <c r="K32" s="3">
        <f>SUM(K16:K30)</f>
        <v>0.91921121765601221</v>
      </c>
    </row>
  </sheetData>
  <mergeCells count="12">
    <mergeCell ref="A1:H1"/>
    <mergeCell ref="I13:K13"/>
    <mergeCell ref="I14:I15"/>
    <mergeCell ref="J14:J15"/>
    <mergeCell ref="E13:G13"/>
    <mergeCell ref="E14:E15"/>
    <mergeCell ref="F14:F15"/>
    <mergeCell ref="A13:C13"/>
    <mergeCell ref="A14:A15"/>
    <mergeCell ref="B14:B15"/>
    <mergeCell ref="A2:A3"/>
    <mergeCell ref="B2:H2"/>
  </mergeCells>
  <pageMargins left="0.7" right="0.7" top="0.75" bottom="0.75" header="0.3" footer="0.3"/>
  <pageSetup orientation="portrait" r:id="rId1"/>
  <ignoredErrors>
    <ignoredError sqref="C28 G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Agua Superficial</vt:lpstr>
      <vt:lpstr>Agua Subterránea</vt:lpstr>
      <vt:lpstr>Aguas Mina</vt:lpstr>
      <vt:lpstr>Agua Mar No Desalada</vt:lpstr>
      <vt:lpstr>Agua Mar Desalada</vt:lpstr>
      <vt:lpstr>Aguas Terceros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Cisternas</dc:creator>
  <cp:lastModifiedBy>Microsoft Office User</cp:lastModifiedBy>
  <dcterms:created xsi:type="dcterms:W3CDTF">2015-08-26T15:00:08Z</dcterms:created>
  <dcterms:modified xsi:type="dcterms:W3CDTF">2019-12-30T13:49:12Z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